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Slunder\Desktop\"/>
    </mc:Choice>
  </mc:AlternateContent>
  <xr:revisionPtr revIDLastSave="0" documentId="13_ncr:1_{934A0A9F-F0ED-4484-8306-4B8619FB9C6C}" xr6:coauthVersionLast="41" xr6:coauthVersionMax="41" xr10:uidLastSave="{00000000-0000-0000-0000-000000000000}"/>
  <workbookProtection workbookAlgorithmName="SHA-512" workbookHashValue="oj0Ng7nPT80LrcHXCnAs1YgPUnjCF9OLnKNfO19JETQdgo5iYDpB+MKWrqwF2zCykDrsdgwf+7AKCZLJ7iEH5w==" workbookSaltValue="ymluLo0SdBztCGBSknq06w==" workbookSpinCount="100000" lockStructure="1"/>
  <bookViews>
    <workbookView xWindow="-24945" yWindow="5655" windowWidth="23085" windowHeight="14400" xr2:uid="{00000000-000D-0000-FFFF-FFFF01000000}"/>
  </bookViews>
  <sheets>
    <sheet name="Calculator" sheetId="1" r:id="rId1"/>
    <sheet name="Hidden Tabs =&gt;" sheetId="15" state="hidden" r:id="rId2"/>
    <sheet name="Revision" sheetId="9" state="hidden" r:id="rId3"/>
    <sheet name="Calculation" sheetId="2" state="hidden" r:id="rId4"/>
    <sheet name="Assumptions" sheetId="3" state="hidden" r:id="rId5"/>
    <sheet name="Distribution Estimate" sheetId="10" state="hidden" r:id="rId6"/>
    <sheet name="Inputs Tracking" sheetId="13" state="hidden" r:id="rId7"/>
    <sheet name="Distance Adjustment" sheetId="14" state="hidden" r:id="rId8"/>
    <sheet name="Chart" sheetId="11" state="hidden" r:id="rId9"/>
    <sheet name="Data (2)" sheetId="4" state="hidden" r:id="rId10"/>
    <sheet name="Calculation Opt2" sheetId="5" state="hidden" r:id="rId11"/>
    <sheet name="Data Opt2" sheetId="6" state="hidden" r:id="rId12"/>
    <sheet name="Calculation NPV Opt3" sheetId="7" state="hidden" r:id="rId13"/>
    <sheet name="Data_NPV" sheetId="8" state="hidden" r:id="rId14"/>
  </sheets>
  <definedNames>
    <definedName name="Allowed_Sizes">Assumptions!$U$3:$U$20</definedName>
    <definedName name="Annual_O_M">Assumptions!$C$29</definedName>
    <definedName name="Base_Distribution">Assumptions!$C$22</definedName>
    <definedName name="Base_Transmission">Assumptions!$C$21</definedName>
    <definedName name="CALC">Calculator!$B$2:$G$14</definedName>
    <definedName name="Capture_Ratio">'Distance Adjustment'!$J$4</definedName>
    <definedName name="Cost_of_Debt">Assumptions!$C$39</definedName>
    <definedName name="Cost_of_Equity">Assumptions!$C$36</definedName>
    <definedName name="Debt_Interest_Rate">Assumptions!$C$38</definedName>
    <definedName name="Depreciation_Factor">Calculation!$C$26</definedName>
    <definedName name="Depreciation_for_Distance">Assumptions!$C$45</definedName>
    <definedName name="Distance">Assumptions!$S$3:$S$13</definedName>
    <definedName name="Distance_Factor">Calculation!$C$28</definedName>
    <definedName name="Distribution_Distance">Calculator!$D$6</definedName>
    <definedName name="Distribution_Feeder">Calculation!$C$51</definedName>
    <definedName name="Distribution_Type">Calculator!$D$4</definedName>
    <definedName name="Equity_Return">Assumptions!$C$35</definedName>
    <definedName name="Feeder">'Distribution Estimate'!$I$10</definedName>
    <definedName name="Length_of_Xmission">Calculator!$D$8</definedName>
    <definedName name="Life_of_Assets">Assumptions!$C$43</definedName>
    <definedName name="Max_Distribution_Distance">Assumptions!$C$18</definedName>
    <definedName name="Max_Transmission_Distance">Assumptions!$C$17</definedName>
    <definedName name="Maximum_Load">Assumptions!$C$15</definedName>
    <definedName name="Miscellaneous_Component">Calculation!$C$53</definedName>
    <definedName name="Miscellaneous_Cost">Calculator!$D$9</definedName>
    <definedName name="MVA">Assumptions!$Q$3:$Q$4</definedName>
    <definedName name="Nomination">Calculator!$D$5</definedName>
    <definedName name="Nomination_Contribution">Calculation!$C$7</definedName>
    <definedName name="O_M_Cost_per_MVA_per_year">Assumptions!$C$33</definedName>
    <definedName name="OH_Sizes">Assumptions!$V$3:$V$16</definedName>
    <definedName name="Percent_Debt">Assumptions!$C$40</definedName>
    <definedName name="Percent_Equity">Assumptions!$C$37</definedName>
    <definedName name="Percent_of_Max_Distance">Calculation!$C$27</definedName>
    <definedName name="Sub_Capacities_and_Costs">Assumptions!$A$3:$F$7</definedName>
    <definedName name="Substation_Component">Calculation!$C$50</definedName>
    <definedName name="Substation_cost_per_Useable_MVA">Assumptions!$C$19</definedName>
    <definedName name="Substation_Total_Capital">Calculation!$C$4</definedName>
    <definedName name="Substation_Type">Assumptions!$X$3:$X$4</definedName>
    <definedName name="Total_Substation_Base_Capital">Assumptions!$C$20</definedName>
    <definedName name="Total_Substation_Capital">Assumptions!$C$23</definedName>
    <definedName name="Total_Unallocated_Base">Calculation!$C$14</definedName>
    <definedName name="Total_Unallocated_Zero_Mile_Financing_Costs">Calculation!$C$20</definedName>
    <definedName name="Transformer_Data">Assumptions!$A$3:$D$7</definedName>
    <definedName name="Transformer_Size">Assumptions!$Q$6</definedName>
    <definedName name="Transformer_Type">Assumptions!$P$3:$P$4</definedName>
    <definedName name="Transmission">Assumptions!$N$9</definedName>
    <definedName name="Transmission_Extension">Calculation!$C$52</definedName>
    <definedName name="Transmission_Voltage">Assumptions!$N$11</definedName>
    <definedName name="Type">Assumptions!$K$3:$K$4</definedName>
    <definedName name="Type_of_Expansion">Calculator!$D$7</definedName>
    <definedName name="Unallocated_Assigned_Capital">Calculation!$C$12</definedName>
    <definedName name="Unallocated_Base_Capital">Calculation!$C$17</definedName>
    <definedName name="Unallocated_Capacity">Calculation!$C$10</definedName>
    <definedName name="Unallocated_Debt_Cost">Calculation!$C$18</definedName>
    <definedName name="Unallocated_Equity_Return">Calculation!$C$19</definedName>
    <definedName name="Unallocated_O_M">Calculation!$C$13</definedName>
    <definedName name="Unallocated_Total_Capital">Calculation!$C$11</definedName>
    <definedName name="Usable_MVA">Assumptions!$C$15</definedName>
    <definedName name="Years_to_Full_Load">Assumptions!$C$16</definedName>
    <definedName name="YTFL_O_M">'Distance Adjustment'!$R$2</definedName>
    <definedName name="Z_19F84062_18A1_42AB_A9E0_86A9327249B7_.wvu.Cols" localSheetId="0" hidden="1">Calculator!$H:$I</definedName>
    <definedName name="Z_B72BCD0A_2298_4E08_A3B0_236EC70E50BB_.wvu.Cols" localSheetId="0" hidden="1">Calculator!$H:$I</definedName>
  </definedNames>
  <calcPr calcId="191029"/>
  <customWorkbookViews>
    <customWorkbookView name="Shane Lunderville - Personal View" guid="{19F84062-18A1-42AB-A9E0-86A9327249B7}" mergeInterval="0" personalView="1" xWindow="-3238" yWindow="906" windowWidth="2294" windowHeight="1970" activeSheetId="1"/>
    <customWorkbookView name="Calculator" guid="{B72BCD0A-2298-4E08-A3B0-236EC70E50BB}" xWindow="-3238" yWindow="906" windowWidth="3222" windowHeight="19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 l="1"/>
  <c r="C14" i="3"/>
  <c r="C19" i="3" s="1"/>
  <c r="A21" i="11" l="1"/>
  <c r="E14" i="1"/>
  <c r="D27" i="2"/>
  <c r="B16" i="2"/>
  <c r="C5" i="2"/>
  <c r="S10" i="14"/>
  <c r="Q2" i="14"/>
  <c r="J2" i="14"/>
  <c r="J4" i="14"/>
  <c r="H14" i="14"/>
  <c r="H15" i="14"/>
  <c r="H16" i="14"/>
  <c r="H17" i="14"/>
  <c r="H18" i="14"/>
  <c r="H19" i="14"/>
  <c r="H20" i="14"/>
  <c r="H21" i="14"/>
  <c r="H22" i="14"/>
  <c r="H23" i="14"/>
  <c r="H13" i="14"/>
  <c r="E28" i="2" l="1"/>
  <c r="E23" i="2"/>
  <c r="E22" i="2"/>
  <c r="E9" i="2"/>
  <c r="B33" i="3" l="1"/>
  <c r="C20" i="3"/>
  <c r="M24" i="8"/>
  <c r="K24" i="8"/>
  <c r="I24" i="8"/>
  <c r="M23" i="8"/>
  <c r="K23" i="8"/>
  <c r="I23" i="8"/>
  <c r="M22" i="8"/>
  <c r="K22" i="8"/>
  <c r="I22" i="8"/>
  <c r="M21" i="8"/>
  <c r="K21" i="8"/>
  <c r="I21" i="8"/>
  <c r="M20" i="8"/>
  <c r="K20" i="8"/>
  <c r="I20" i="8"/>
  <c r="M19" i="8"/>
  <c r="K19" i="8"/>
  <c r="I19" i="8"/>
  <c r="M18" i="8"/>
  <c r="K18" i="8"/>
  <c r="I18" i="8"/>
  <c r="M17" i="8"/>
  <c r="K17" i="8"/>
  <c r="I17" i="8"/>
  <c r="M16" i="8"/>
  <c r="K16" i="8"/>
  <c r="I16" i="8"/>
  <c r="M15" i="8"/>
  <c r="K15" i="8"/>
  <c r="I15" i="8"/>
  <c r="M14" i="8"/>
  <c r="K14" i="8"/>
  <c r="I14" i="8"/>
  <c r="M13" i="8"/>
  <c r="K13" i="8"/>
  <c r="I13" i="8"/>
  <c r="M12" i="8"/>
  <c r="K12" i="8"/>
  <c r="I12" i="8"/>
  <c r="M11" i="8"/>
  <c r="K11" i="8"/>
  <c r="I11" i="8"/>
  <c r="M10" i="8"/>
  <c r="K10" i="8"/>
  <c r="I10" i="8"/>
  <c r="M9" i="8"/>
  <c r="K9" i="8"/>
  <c r="I9" i="8"/>
  <c r="M8" i="8"/>
  <c r="K8" i="8"/>
  <c r="I8" i="8"/>
  <c r="M7" i="8"/>
  <c r="K7" i="8"/>
  <c r="I7" i="8"/>
  <c r="M6" i="8"/>
  <c r="K6" i="8"/>
  <c r="I6" i="8"/>
  <c r="D6" i="8"/>
  <c r="D5" i="8"/>
  <c r="D4" i="8"/>
  <c r="D3" i="8"/>
  <c r="D2" i="8"/>
  <c r="B9" i="7"/>
  <c r="C9" i="7" s="1"/>
  <c r="A9" i="7"/>
  <c r="D7" i="7"/>
  <c r="D9" i="7" s="1"/>
  <c r="D6" i="6"/>
  <c r="D5" i="6"/>
  <c r="D4" i="6"/>
  <c r="D3" i="6"/>
  <c r="D2" i="6"/>
  <c r="B9" i="5" s="1"/>
  <c r="C9" i="5" s="1"/>
  <c r="A9" i="5"/>
  <c r="D9" i="5" s="1"/>
  <c r="D7" i="5"/>
  <c r="G24" i="4"/>
  <c r="N24" i="4" s="1"/>
  <c r="O19" i="4"/>
  <c r="N17" i="4"/>
  <c r="N15" i="4"/>
  <c r="O13" i="4"/>
  <c r="O11" i="4"/>
  <c r="O9" i="4"/>
  <c r="O7" i="4"/>
  <c r="D6" i="4"/>
  <c r="D5" i="4"/>
  <c r="D4" i="4"/>
  <c r="D3" i="4"/>
  <c r="D2" i="4"/>
  <c r="P64" i="13"/>
  <c r="P63" i="13"/>
  <c r="P62" i="13"/>
  <c r="M61" i="13"/>
  <c r="J61" i="13"/>
  <c r="P60" i="13"/>
  <c r="J60" i="13"/>
  <c r="M60" i="13" s="1"/>
  <c r="J59" i="13"/>
  <c r="M59" i="13" s="1"/>
  <c r="J58" i="13"/>
  <c r="P57" i="13"/>
  <c r="J57" i="13"/>
  <c r="M56" i="13"/>
  <c r="J56" i="13"/>
  <c r="J55" i="13"/>
  <c r="J54" i="13"/>
  <c r="J53" i="13"/>
  <c r="M53" i="13" s="1"/>
  <c r="P52" i="13"/>
  <c r="J52" i="13"/>
  <c r="P51" i="13"/>
  <c r="J51" i="13"/>
  <c r="P50" i="13"/>
  <c r="J50" i="13"/>
  <c r="P49" i="13"/>
  <c r="J49" i="13"/>
  <c r="P48" i="13"/>
  <c r="J48" i="13"/>
  <c r="P47" i="13"/>
  <c r="J47" i="13"/>
  <c r="P46" i="13"/>
  <c r="J46" i="13"/>
  <c r="J45" i="13"/>
  <c r="J44" i="13"/>
  <c r="J43" i="13"/>
  <c r="J42" i="13"/>
  <c r="P41" i="13"/>
  <c r="J41" i="13"/>
  <c r="P40" i="13"/>
  <c r="J40" i="13"/>
  <c r="P39" i="13"/>
  <c r="J39" i="13"/>
  <c r="P38" i="13"/>
  <c r="J38" i="13"/>
  <c r="P37" i="13"/>
  <c r="J37" i="13"/>
  <c r="P36" i="13"/>
  <c r="J36" i="13"/>
  <c r="P35" i="13"/>
  <c r="J35" i="13"/>
  <c r="P34" i="13"/>
  <c r="J34" i="13"/>
  <c r="P33" i="13"/>
  <c r="J33" i="13"/>
  <c r="P32" i="13"/>
  <c r="J32" i="13"/>
  <c r="P31" i="13"/>
  <c r="J31" i="13"/>
  <c r="P30" i="13"/>
  <c r="J30" i="13"/>
  <c r="P29" i="13"/>
  <c r="J29" i="13"/>
  <c r="P28" i="13"/>
  <c r="J28" i="13"/>
  <c r="J27" i="13"/>
  <c r="P26" i="13"/>
  <c r="J26" i="13"/>
  <c r="P25" i="13"/>
  <c r="J25" i="13"/>
  <c r="P24" i="13"/>
  <c r="J24" i="13"/>
  <c r="P23" i="13"/>
  <c r="J23" i="13"/>
  <c r="P22" i="13"/>
  <c r="J22" i="13"/>
  <c r="P21" i="13"/>
  <c r="J21" i="13"/>
  <c r="J20" i="13"/>
  <c r="J19" i="13"/>
  <c r="M19" i="13" s="1"/>
  <c r="P18" i="13"/>
  <c r="J18" i="13"/>
  <c r="P17" i="13"/>
  <c r="J17" i="13"/>
  <c r="P16" i="13"/>
  <c r="J16" i="13"/>
  <c r="P15" i="13"/>
  <c r="J15" i="13"/>
  <c r="P14" i="13"/>
  <c r="J14" i="13"/>
  <c r="P13" i="13"/>
  <c r="J13" i="13"/>
  <c r="P12" i="13"/>
  <c r="J12" i="13"/>
  <c r="P11" i="13"/>
  <c r="J11" i="13"/>
  <c r="P10" i="13"/>
  <c r="J10" i="13"/>
  <c r="P9" i="13"/>
  <c r="J9" i="13"/>
  <c r="P8" i="13"/>
  <c r="J8" i="13"/>
  <c r="P7" i="13"/>
  <c r="J7" i="13"/>
  <c r="J6" i="13"/>
  <c r="J5" i="13"/>
  <c r="M5" i="13" s="1"/>
  <c r="M4" i="13"/>
  <c r="J4" i="13"/>
  <c r="T3" i="13"/>
  <c r="A19" i="11"/>
  <c r="F15" i="11"/>
  <c r="F14" i="11"/>
  <c r="F13" i="11"/>
  <c r="F12" i="11"/>
  <c r="F11" i="11"/>
  <c r="F10" i="11"/>
  <c r="F9" i="11"/>
  <c r="F8" i="11"/>
  <c r="F7" i="11"/>
  <c r="F6" i="11"/>
  <c r="F5" i="11"/>
  <c r="B14" i="14"/>
  <c r="C13" i="14"/>
  <c r="D13" i="14"/>
  <c r="E13" i="14" s="1"/>
  <c r="O3" i="14"/>
  <c r="E3" i="14"/>
  <c r="E2" i="14"/>
  <c r="L19" i="10"/>
  <c r="P58" i="13" s="1"/>
  <c r="I19" i="10"/>
  <c r="L15" i="10"/>
  <c r="K14" i="10"/>
  <c r="K15" i="10" s="1"/>
  <c r="C11" i="10"/>
  <c r="P42" i="13" s="1"/>
  <c r="I2" i="10"/>
  <c r="H2" i="10"/>
  <c r="H14" i="10" s="1"/>
  <c r="G2" i="10"/>
  <c r="H8" i="10" s="1"/>
  <c r="C45" i="3"/>
  <c r="C25" i="2" s="1"/>
  <c r="C40" i="3"/>
  <c r="P65" i="13" s="1"/>
  <c r="C35" i="3"/>
  <c r="B27" i="3"/>
  <c r="B25" i="3"/>
  <c r="B22" i="3"/>
  <c r="V16" i="3"/>
  <c r="V15" i="3"/>
  <c r="V14" i="3"/>
  <c r="V13" i="3"/>
  <c r="S13" i="3"/>
  <c r="S5" i="3" s="1"/>
  <c r="V12" i="3"/>
  <c r="V11" i="3"/>
  <c r="V10" i="3"/>
  <c r="V9" i="3"/>
  <c r="M9" i="3"/>
  <c r="V8" i="3"/>
  <c r="V7" i="3"/>
  <c r="S7" i="3"/>
  <c r="M7" i="3"/>
  <c r="N7" i="3" s="1"/>
  <c r="V6" i="3"/>
  <c r="F6" i="3"/>
  <c r="E6" i="3"/>
  <c r="V5" i="3"/>
  <c r="F5" i="3"/>
  <c r="E5" i="3"/>
  <c r="V4" i="3"/>
  <c r="F4" i="3"/>
  <c r="E4" i="3"/>
  <c r="V3" i="3"/>
  <c r="F3" i="3"/>
  <c r="E3" i="3"/>
  <c r="C53" i="2"/>
  <c r="C27" i="2"/>
  <c r="C26" i="2"/>
  <c r="C24" i="2"/>
  <c r="B22" i="2"/>
  <c r="B9" i="2"/>
  <c r="C3" i="2"/>
  <c r="F15" i="1"/>
  <c r="D12" i="1"/>
  <c r="E9" i="1"/>
  <c r="C8" i="1"/>
  <c r="C6" i="1"/>
  <c r="F4" i="1"/>
  <c r="D3" i="2" l="1"/>
  <c r="D6" i="2"/>
  <c r="M6" i="4"/>
  <c r="M8" i="4"/>
  <c r="M10" i="4"/>
  <c r="M12" i="4"/>
  <c r="M14" i="4"/>
  <c r="M16" i="4"/>
  <c r="O17" i="4"/>
  <c r="N20" i="4"/>
  <c r="H9" i="4"/>
  <c r="H11" i="4"/>
  <c r="E15" i="4"/>
  <c r="H22" i="4" s="1"/>
  <c r="N16" i="4"/>
  <c r="M18" i="4"/>
  <c r="N21" i="4"/>
  <c r="S6" i="3"/>
  <c r="C38" i="3"/>
  <c r="C41" i="3" s="1"/>
  <c r="M7" i="4"/>
  <c r="M9" i="4"/>
  <c r="M11" i="4"/>
  <c r="M13" i="4"/>
  <c r="M15" i="4"/>
  <c r="O16" i="4"/>
  <c r="N19" i="4"/>
  <c r="M22" i="4"/>
  <c r="N9" i="3"/>
  <c r="F13" i="14"/>
  <c r="H9" i="10"/>
  <c r="O6" i="4"/>
  <c r="N7" i="4"/>
  <c r="O8" i="4"/>
  <c r="N9" i="4"/>
  <c r="O10" i="4"/>
  <c r="N11" i="4"/>
  <c r="O12" i="4"/>
  <c r="N13" i="4"/>
  <c r="O14" i="4"/>
  <c r="E16" i="4"/>
  <c r="I17" i="4" s="1"/>
  <c r="N18" i="4"/>
  <c r="M20" i="4"/>
  <c r="O21" i="4"/>
  <c r="O23" i="4"/>
  <c r="N22" i="4"/>
  <c r="J24" i="4"/>
  <c r="K18" i="10"/>
  <c r="K19" i="10" s="1"/>
  <c r="H15" i="10"/>
  <c r="I8" i="10" s="1"/>
  <c r="C22" i="3" s="1"/>
  <c r="J2" i="10"/>
  <c r="S4" i="3"/>
  <c r="C12" i="10"/>
  <c r="H18" i="10"/>
  <c r="H19" i="10" s="1"/>
  <c r="C14" i="14"/>
  <c r="B15" i="14"/>
  <c r="D14" i="14"/>
  <c r="E14" i="14" s="1"/>
  <c r="E9" i="5"/>
  <c r="S8" i="3"/>
  <c r="S12" i="3"/>
  <c r="S11" i="3"/>
  <c r="H17" i="4"/>
  <c r="H19" i="4"/>
  <c r="H21" i="4"/>
  <c r="H23" i="4"/>
  <c r="N23" i="4"/>
  <c r="I24" i="4"/>
  <c r="O24" i="4"/>
  <c r="E9" i="7"/>
  <c r="G7" i="10"/>
  <c r="H16" i="4"/>
  <c r="N61" i="13"/>
  <c r="H15" i="4"/>
  <c r="H18" i="4"/>
  <c r="H20" i="4"/>
  <c r="M24" i="4"/>
  <c r="H6" i="4"/>
  <c r="N6" i="4"/>
  <c r="H8" i="4"/>
  <c r="N8" i="4"/>
  <c r="H10" i="4"/>
  <c r="N10" i="4"/>
  <c r="H12" i="4"/>
  <c r="N12" i="4"/>
  <c r="H14" i="4"/>
  <c r="N14" i="4"/>
  <c r="I15" i="4"/>
  <c r="O15" i="4"/>
  <c r="E17" i="4"/>
  <c r="J7" i="4" s="1"/>
  <c r="M17" i="4"/>
  <c r="I18" i="4"/>
  <c r="O18" i="4"/>
  <c r="M19" i="4"/>
  <c r="O20" i="4"/>
  <c r="M21" i="4"/>
  <c r="O22" i="4"/>
  <c r="M23" i="4"/>
  <c r="H24" i="4"/>
  <c r="C28" i="2"/>
  <c r="N56" i="13"/>
  <c r="N53" i="13"/>
  <c r="N5" i="13"/>
  <c r="N19" i="13"/>
  <c r="N4" i="13"/>
  <c r="N59" i="13"/>
  <c r="N60" i="13"/>
  <c r="I20" i="4" l="1"/>
  <c r="I22" i="4"/>
  <c r="I21" i="4"/>
  <c r="H7" i="4"/>
  <c r="H13" i="4"/>
  <c r="J16" i="4"/>
  <c r="I16" i="4"/>
  <c r="I14" i="4"/>
  <c r="I13" i="4"/>
  <c r="I12" i="4"/>
  <c r="I11" i="4"/>
  <c r="I10" i="4"/>
  <c r="I9" i="4"/>
  <c r="I8" i="4"/>
  <c r="I7" i="4"/>
  <c r="I6" i="4"/>
  <c r="I19" i="4"/>
  <c r="I23" i="4"/>
  <c r="J13" i="4"/>
  <c r="I9" i="10"/>
  <c r="I10" i="10" s="1"/>
  <c r="C25" i="3" s="1"/>
  <c r="C52" i="2"/>
  <c r="D14" i="1" s="1"/>
  <c r="C27" i="3"/>
  <c r="P43" i="13"/>
  <c r="C13" i="10"/>
  <c r="D15" i="14"/>
  <c r="E15" i="14" s="1"/>
  <c r="C15" i="14"/>
  <c r="B16" i="14"/>
  <c r="C15" i="3"/>
  <c r="J3" i="14"/>
  <c r="J23" i="4"/>
  <c r="J21" i="4"/>
  <c r="J19" i="4"/>
  <c r="J17" i="4"/>
  <c r="J14" i="4"/>
  <c r="J12" i="4"/>
  <c r="J10" i="4"/>
  <c r="J8" i="4"/>
  <c r="J6" i="4"/>
  <c r="J20" i="4"/>
  <c r="J18" i="4"/>
  <c r="J15" i="4"/>
  <c r="J9" i="4"/>
  <c r="J22" i="4"/>
  <c r="F14" i="14"/>
  <c r="J11" i="4"/>
  <c r="E21" i="11" l="1"/>
  <c r="C29" i="3"/>
  <c r="C13" i="2" s="1"/>
  <c r="C40" i="2" s="1"/>
  <c r="B29" i="3"/>
  <c r="C51" i="2"/>
  <c r="C14" i="1" s="1"/>
  <c r="C23" i="3"/>
  <c r="C4" i="2"/>
  <c r="C16" i="14"/>
  <c r="B17" i="14"/>
  <c r="D16" i="14"/>
  <c r="E16" i="14" s="1"/>
  <c r="C14" i="10"/>
  <c r="P45" i="13" s="1"/>
  <c r="P44" i="13"/>
  <c r="F15" i="14"/>
  <c r="C2" i="2"/>
  <c r="O2" i="14"/>
  <c r="C12" i="2"/>
  <c r="C21" i="11" s="1"/>
  <c r="C6" i="2"/>
  <c r="C7" i="2"/>
  <c r="B21" i="11" s="1"/>
  <c r="C31" i="2" l="1"/>
  <c r="C35" i="2" s="1"/>
  <c r="C36" i="2" s="1"/>
  <c r="I13" i="14"/>
  <c r="I15" i="14"/>
  <c r="I14" i="14"/>
  <c r="C11" i="2"/>
  <c r="O4" i="14"/>
  <c r="F16" i="14"/>
  <c r="I16" i="14" s="1"/>
  <c r="C44" i="2"/>
  <c r="C14" i="2"/>
  <c r="D17" i="14"/>
  <c r="E17" i="14" s="1"/>
  <c r="B18" i="14"/>
  <c r="C17" i="14"/>
  <c r="C32" i="2" l="1"/>
  <c r="C45" i="2" s="1"/>
  <c r="C37" i="2"/>
  <c r="J13" i="14"/>
  <c r="R2" i="14" s="1"/>
  <c r="J15" i="14"/>
  <c r="N15" i="14" s="1"/>
  <c r="J16" i="14"/>
  <c r="J14" i="14"/>
  <c r="C17" i="2"/>
  <c r="F17" i="14"/>
  <c r="I17" i="14" s="1"/>
  <c r="C18" i="14"/>
  <c r="D18" i="14"/>
  <c r="B19" i="14"/>
  <c r="C38" i="2" l="1"/>
  <c r="C39" i="2"/>
  <c r="S22" i="14"/>
  <c r="S18" i="14"/>
  <c r="S14" i="14"/>
  <c r="S23" i="14"/>
  <c r="S19" i="14"/>
  <c r="S15" i="14"/>
  <c r="S21" i="14"/>
  <c r="S17" i="14"/>
  <c r="S13" i="14"/>
  <c r="S20" i="14"/>
  <c r="S16" i="14"/>
  <c r="K14" i="14"/>
  <c r="M14" i="14" s="1"/>
  <c r="O14" i="14" s="1"/>
  <c r="N14" i="14"/>
  <c r="K16" i="14"/>
  <c r="M16" i="14" s="1"/>
  <c r="O16" i="14" s="1"/>
  <c r="N16" i="14"/>
  <c r="K15" i="14"/>
  <c r="M15" i="14" s="1"/>
  <c r="O15" i="14" s="1"/>
  <c r="N13" i="14"/>
  <c r="J17" i="14"/>
  <c r="K13" i="14"/>
  <c r="C18" i="2"/>
  <c r="C19" i="2"/>
  <c r="B20" i="14"/>
  <c r="C19" i="14"/>
  <c r="D19" i="14"/>
  <c r="E18" i="14"/>
  <c r="F18" i="14" s="1"/>
  <c r="I18" i="14" s="1"/>
  <c r="C41" i="2" l="1"/>
  <c r="C46" i="2" s="1"/>
  <c r="D21" i="11" s="1"/>
  <c r="F21" i="11" s="1"/>
  <c r="K17" i="14"/>
  <c r="M17" i="14" s="1"/>
  <c r="O17" i="14" s="1"/>
  <c r="N17" i="14"/>
  <c r="P15" i="14"/>
  <c r="Q15" i="14"/>
  <c r="Q16" i="14"/>
  <c r="P16" i="14"/>
  <c r="Q14" i="14"/>
  <c r="P14" i="14"/>
  <c r="J18" i="14"/>
  <c r="M13" i="14"/>
  <c r="O13" i="14" s="1"/>
  <c r="C20" i="2"/>
  <c r="B21" i="14"/>
  <c r="C20" i="14"/>
  <c r="D20" i="14"/>
  <c r="E19" i="14"/>
  <c r="F19" i="14" s="1"/>
  <c r="I19" i="14" s="1"/>
  <c r="C47" i="2" l="1"/>
  <c r="C50" i="2" s="1"/>
  <c r="B14" i="1" s="1"/>
  <c r="K18" i="14"/>
  <c r="M18" i="14" s="1"/>
  <c r="O18" i="14" s="1"/>
  <c r="N18" i="14"/>
  <c r="Q17" i="14"/>
  <c r="P17" i="14"/>
  <c r="J19" i="14"/>
  <c r="Q13" i="14"/>
  <c r="P13" i="14"/>
  <c r="D21" i="14"/>
  <c r="B22" i="14"/>
  <c r="C21" i="14"/>
  <c r="R16" i="14"/>
  <c r="E20" i="14"/>
  <c r="F20" i="14" s="1"/>
  <c r="I20" i="14" s="1"/>
  <c r="K19" i="14" l="1"/>
  <c r="M19" i="14" s="1"/>
  <c r="O19" i="14" s="1"/>
  <c r="N19" i="14"/>
  <c r="Q18" i="14"/>
  <c r="P18" i="14"/>
  <c r="J20" i="14"/>
  <c r="R17" i="14"/>
  <c r="R14" i="14"/>
  <c r="R13" i="14"/>
  <c r="T13" i="14" s="1"/>
  <c r="R15" i="14"/>
  <c r="E21" i="14"/>
  <c r="F21" i="14" s="1"/>
  <c r="I21" i="14" s="1"/>
  <c r="D22" i="14"/>
  <c r="B23" i="14"/>
  <c r="C22" i="14"/>
  <c r="R18" i="14" l="1"/>
  <c r="K20" i="14"/>
  <c r="M20" i="14" s="1"/>
  <c r="O20" i="14" s="1"/>
  <c r="N20" i="14"/>
  <c r="Q19" i="14"/>
  <c r="P19" i="14"/>
  <c r="J21" i="14"/>
  <c r="E22" i="14"/>
  <c r="F22" i="14" s="1"/>
  <c r="I22" i="14" s="1"/>
  <c r="C23" i="14"/>
  <c r="D23" i="14"/>
  <c r="K21" i="14" l="1"/>
  <c r="M21" i="14" s="1"/>
  <c r="O21" i="14" s="1"/>
  <c r="N21" i="14"/>
  <c r="R19" i="14"/>
  <c r="P20" i="14"/>
  <c r="Q20" i="14"/>
  <c r="J22" i="14"/>
  <c r="E23" i="14"/>
  <c r="F23" i="14" s="1"/>
  <c r="I23" i="14" s="1"/>
  <c r="K22" i="14" l="1"/>
  <c r="M22" i="14" s="1"/>
  <c r="O22" i="14" s="1"/>
  <c r="N22" i="14"/>
  <c r="R20" i="14"/>
  <c r="Q21" i="14"/>
  <c r="P21" i="14"/>
  <c r="J23" i="14"/>
  <c r="R21" i="14" l="1"/>
  <c r="K23" i="14"/>
  <c r="M23" i="14" s="1"/>
  <c r="O23" i="14" s="1"/>
  <c r="N23" i="14"/>
  <c r="Q22" i="14"/>
  <c r="P22" i="14"/>
  <c r="R22" i="14" l="1"/>
  <c r="Q23" i="14"/>
  <c r="P23" i="14"/>
  <c r="R23" i="14" l="1"/>
  <c r="C54" i="2" l="1"/>
  <c r="F14" i="1" l="1"/>
  <c r="T21" i="14"/>
  <c r="T18" i="14"/>
  <c r="T14" i="14"/>
  <c r="T17" i="14"/>
  <c r="T22" i="14"/>
  <c r="T16" i="14"/>
  <c r="T20" i="14"/>
  <c r="T15" i="14"/>
  <c r="T23" i="14"/>
  <c r="T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 Szablya</author>
  </authors>
  <commentList>
    <comment ref="C5" authorId="0" shapeId="0" xr:uid="{00000000-0006-0000-0500-000001000000}">
      <text>
        <r>
          <rPr>
            <b/>
            <sz val="9"/>
            <color indexed="81"/>
            <rFont val="Tahoma"/>
            <family val="2"/>
          </rPr>
          <t>Louis Szablya:</t>
        </r>
        <r>
          <rPr>
            <sz val="9"/>
            <color indexed="81"/>
            <rFont val="Tahoma"/>
            <family val="2"/>
          </rPr>
          <t xml:space="preserve">
If this is Customer Provided, why is this a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Shane Lunderville</author>
  </authors>
  <commentList>
    <comment ref="D14" authorId="0" shapeId="0" xr:uid="{00000000-0006-0000-0900-000001000000}">
      <text>
        <r>
          <rPr>
            <b/>
            <sz val="9"/>
            <color indexed="81"/>
            <rFont val="Tahoma"/>
            <family val="2"/>
          </rPr>
          <t>Avg Years to Utilize Sub at 85%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Shane Lunderville</author>
  </authors>
  <commentList>
    <comment ref="D7" authorId="0" shapeId="0" xr:uid="{00000000-0006-0000-0A00-000001000000}">
      <text>
        <r>
          <rPr>
            <b/>
            <sz val="9"/>
            <color indexed="81"/>
            <rFont val="Tahoma"/>
            <family val="2"/>
          </rPr>
          <t>Shane Lunderville:</t>
        </r>
        <r>
          <rPr>
            <sz val="9"/>
            <color indexed="81"/>
            <rFont val="Tahoma"/>
            <family val="2"/>
          </rPr>
          <t xml:space="preserve">
Index Column for Calc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Shane Lunderville</author>
  </authors>
  <commentList>
    <comment ref="D7" authorId="0" shapeId="0" xr:uid="{00000000-0006-0000-0C00-000001000000}">
      <text>
        <r>
          <rPr>
            <b/>
            <sz val="9"/>
            <color indexed="81"/>
            <rFont val="Tahoma"/>
            <family val="2"/>
          </rPr>
          <t>Shane Lunderville:</t>
        </r>
        <r>
          <rPr>
            <sz val="9"/>
            <color indexed="81"/>
            <rFont val="Tahoma"/>
            <family val="2"/>
          </rPr>
          <t xml:space="preserve">
Index Column for Calc
</t>
        </r>
      </text>
    </comment>
  </commentList>
</comments>
</file>

<file path=xl/sharedStrings.xml><?xml version="1.0" encoding="utf-8"?>
<sst xmlns="http://schemas.openxmlformats.org/spreadsheetml/2006/main" count="616" uniqueCount="405">
  <si>
    <t>Substation Size</t>
  </si>
  <si>
    <t xml:space="preserve">Estimated Cost of a Substation </t>
  </si>
  <si>
    <t>Estimated Cost</t>
  </si>
  <si>
    <t>25MVA 115kV - Single Lineup</t>
  </si>
  <si>
    <t>25MVA 115kV - Dual Lineup</t>
  </si>
  <si>
    <t>41MVA 230kV - Single Lineup</t>
  </si>
  <si>
    <t>41MVA 230kV - Dual Lineup</t>
  </si>
  <si>
    <t>Column1</t>
  </si>
  <si>
    <t>Requested MW</t>
  </si>
  <si>
    <t>Location</t>
  </si>
  <si>
    <t>Rural</t>
  </si>
  <si>
    <t>Urban</t>
  </si>
  <si>
    <t>Industrial</t>
  </si>
  <si>
    <t>Feeder Breaker 2MW and below</t>
  </si>
  <si>
    <t>Up to (MW)</t>
  </si>
  <si>
    <t>Cost per MW</t>
  </si>
  <si>
    <t>MW Request</t>
  </si>
  <si>
    <t>Per MW Cost</t>
  </si>
  <si>
    <t>Cost Per Requested MW</t>
  </si>
  <si>
    <t>Caring Cost %</t>
  </si>
  <si>
    <t>Under 2MW</t>
  </si>
  <si>
    <t>Estimated Cost 2017</t>
  </si>
  <si>
    <t>Total Contribution of Customer</t>
  </si>
  <si>
    <t>Carrying Costs</t>
  </si>
  <si>
    <t>You have a certain amount of years until another 5MW load will enter the substation</t>
  </si>
  <si>
    <t>2 year</t>
  </si>
  <si>
    <t>3 year</t>
  </si>
  <si>
    <t>1 Year = 10%Carrying</t>
  </si>
  <si>
    <t>Based on Carring Cost of $850 per MW month</t>
  </si>
  <si>
    <t>New Construction</t>
  </si>
  <si>
    <t>Yes</t>
  </si>
  <si>
    <t>Customer Contribution Calculation</t>
  </si>
  <si>
    <t xml:space="preserve">1MW per Year = </t>
  </si>
  <si>
    <t xml:space="preserve">This Formulaic approach is for customers below 20 MW. All customers above 20MW pay full substation price. </t>
  </si>
  <si>
    <t>Customer Contribution Calculation for Substation Capacity</t>
  </si>
  <si>
    <t xml:space="preserve">Tranmission and Distribution will be calcualted on estimated cost to build. </t>
  </si>
  <si>
    <t>Carrying Cost</t>
  </si>
  <si>
    <t>Payback Years</t>
  </si>
  <si>
    <t>Rounded Payback years to nearest year</t>
  </si>
  <si>
    <t>5% Growth</t>
  </si>
  <si>
    <t>2% Growth</t>
  </si>
  <si>
    <r>
      <rPr>
        <sz val="11"/>
        <color rgb="FF0070C0"/>
        <rFont val="Calibri"/>
        <family val="2"/>
        <scheme val="minor"/>
      </rPr>
      <t>Requested MW</t>
    </r>
    <r>
      <rPr>
        <sz val="11"/>
        <color theme="1"/>
        <rFont val="Calibri"/>
        <family val="2"/>
        <scheme val="minor"/>
      </rPr>
      <t xml:space="preserve"> </t>
    </r>
    <r>
      <rPr>
        <b/>
        <sz val="14"/>
        <color theme="1"/>
        <rFont val="Calibri"/>
        <family val="2"/>
        <scheme val="minor"/>
      </rPr>
      <t>*</t>
    </r>
    <r>
      <rPr>
        <sz val="11"/>
        <color theme="1"/>
        <rFont val="Calibri"/>
        <family val="2"/>
        <scheme val="minor"/>
      </rPr>
      <t xml:space="preserve"> </t>
    </r>
    <r>
      <rPr>
        <sz val="11"/>
        <color rgb="FF7030A0"/>
        <rFont val="Calibri"/>
        <family val="2"/>
        <scheme val="minor"/>
      </rPr>
      <t>Per MW Cost (Based on Substation Size)</t>
    </r>
    <r>
      <rPr>
        <sz val="11"/>
        <color theme="1"/>
        <rFont val="Calibri"/>
        <family val="2"/>
        <scheme val="minor"/>
      </rPr>
      <t xml:space="preserve"> </t>
    </r>
    <r>
      <rPr>
        <b/>
        <sz val="14"/>
        <color theme="1"/>
        <rFont val="Calibri"/>
        <family val="2"/>
        <scheme val="minor"/>
      </rPr>
      <t>+</t>
    </r>
    <r>
      <rPr>
        <sz val="11"/>
        <color theme="1"/>
        <rFont val="Calibri"/>
        <family val="2"/>
        <scheme val="minor"/>
      </rPr>
      <t xml:space="preserve"> </t>
    </r>
    <r>
      <rPr>
        <sz val="11"/>
        <color rgb="FFFF0000"/>
        <rFont val="Calibri"/>
        <family val="2"/>
        <scheme val="minor"/>
      </rPr>
      <t>Carrying Cost (Based on NPV Payback)</t>
    </r>
  </si>
  <si>
    <t>10% Growth</t>
  </si>
  <si>
    <t>MW/Years</t>
  </si>
  <si>
    <t>Carrying Costs per MW -Year</t>
  </si>
  <si>
    <t xml:space="preserve">Years </t>
  </si>
  <si>
    <t>Usable MW</t>
  </si>
  <si>
    <t>Location base on zoning or best system estimate of utilization.</t>
  </si>
  <si>
    <t>Transmission and Distribution will be calculated on estimated cost to build. Provided by Engineering</t>
  </si>
  <si>
    <t>Date</t>
  </si>
  <si>
    <t>REVISION HISTORY</t>
  </si>
  <si>
    <t>Description</t>
  </si>
  <si>
    <t>Modified By</t>
  </si>
  <si>
    <t>Shane Lundervile</t>
  </si>
  <si>
    <t>Placed on to SharePoint</t>
  </si>
  <si>
    <t>Assumptions</t>
  </si>
  <si>
    <t>Item</t>
  </si>
  <si>
    <t>Quantity</t>
  </si>
  <si>
    <t>Units</t>
  </si>
  <si>
    <t>Substation</t>
  </si>
  <si>
    <t>Size</t>
  </si>
  <si>
    <t>MVA</t>
  </si>
  <si>
    <t>Years to Full Load</t>
  </si>
  <si>
    <t>Years</t>
  </si>
  <si>
    <t>/MVA/year</t>
  </si>
  <si>
    <t>miles</t>
  </si>
  <si>
    <t>Financing</t>
  </si>
  <si>
    <t>Cost of Equity</t>
  </si>
  <si>
    <t>Percent</t>
  </si>
  <si>
    <t>Cost of Debt</t>
  </si>
  <si>
    <t>Accounting</t>
  </si>
  <si>
    <t>Life of Assets</t>
  </si>
  <si>
    <t>years</t>
  </si>
  <si>
    <t>Substation Total Capital</t>
  </si>
  <si>
    <t>No impact on other customers</t>
  </si>
  <si>
    <t>Assume Normal Distribution of New Customer Construction Requests</t>
  </si>
  <si>
    <t>No Tracking For True Up</t>
  </si>
  <si>
    <t>No Aditional Adjustments to Specific Customers after Initial Upfront Costs (refunds or extra connection cost)</t>
  </si>
  <si>
    <t>GCPUD Minimum Incremental Substation = 25 MVA</t>
  </si>
  <si>
    <t>Distance</t>
  </si>
  <si>
    <t>MW</t>
  </si>
  <si>
    <t>Methodology provided by Rates group</t>
  </si>
  <si>
    <t>Capital Costs</t>
  </si>
  <si>
    <t>Rates</t>
  </si>
  <si>
    <t xml:space="preserve">Percent Equity </t>
  </si>
  <si>
    <t xml:space="preserve">Percent Debt </t>
  </si>
  <si>
    <t>Nomination Calculations</t>
  </si>
  <si>
    <t>Service</t>
  </si>
  <si>
    <t>UG</t>
  </si>
  <si>
    <t>Distribution 2 Ckt 1100-EPR per Mile</t>
  </si>
  <si>
    <t>Distribution 3 Ckt 1100-EPR per Mile</t>
  </si>
  <si>
    <t>Distribution 4 Ckt 1100-EPR per Mile</t>
  </si>
  <si>
    <t>Distribution 5 Ckt 1100-EPR per Mile</t>
  </si>
  <si>
    <t>Distribution 6 Ckt 1100-EPR per Mile</t>
  </si>
  <si>
    <t>Distribution 1Cktt 1100-EPR per mile</t>
  </si>
  <si>
    <t>Customer provided  Demarcation Gear</t>
  </si>
  <si>
    <t>OH</t>
  </si>
  <si>
    <t>Single Circuit 795 AAC per mile</t>
  </si>
  <si>
    <t>Single Circuit 366 AAC per mile</t>
  </si>
  <si>
    <t>Primary Metering gear with Vault</t>
  </si>
  <si>
    <t>Primary Metering and Disconnect</t>
  </si>
  <si>
    <t>Conductor</t>
  </si>
  <si>
    <t>UG Service</t>
  </si>
  <si>
    <t>OH Service</t>
  </si>
  <si>
    <t>[%Equity Return]</t>
  </si>
  <si>
    <t>[%Debt Interest Rate]</t>
  </si>
  <si>
    <t>Voltage</t>
  </si>
  <si>
    <t>115 kV</t>
  </si>
  <si>
    <t>230 kV</t>
  </si>
  <si>
    <t>Parameters:</t>
  </si>
  <si>
    <t>Customer Contribution Total</t>
  </si>
  <si>
    <t>Nomination (Request)</t>
  </si>
  <si>
    <t>Distribution Estimator</t>
  </si>
  <si>
    <t>*Data from PD Engineering, 2019 Costs</t>
  </si>
  <si>
    <t>Captured new 2019 Substation costs from Engineering</t>
  </si>
  <si>
    <t>Shane Lunderville</t>
  </si>
  <si>
    <t>Updated XMR size to read commercial and Industrial</t>
  </si>
  <si>
    <t>Type</t>
  </si>
  <si>
    <t>Distribution and Demarcation</t>
  </si>
  <si>
    <t xml:space="preserve">Changed Distance factor with inputted transmission Miles. Objective is to know distance of new substation from existing infrastructure. </t>
  </si>
  <si>
    <t>Nomination</t>
  </si>
  <si>
    <t>Connector Multiplier</t>
  </si>
  <si>
    <t>Added alert when 2nd lineup selected for tranmission costs (Calculator!D12). 
The formulas in Cells (Calculator!D7 - list, Calculator!B11, Calculation!A21, Calculation!C11) updated</t>
  </si>
  <si>
    <t>UG Conductors</t>
  </si>
  <si>
    <t>OH Conductors</t>
  </si>
  <si>
    <t>Field</t>
  </si>
  <si>
    <t>Sheet</t>
  </si>
  <si>
    <t>Department</t>
  </si>
  <si>
    <t>Provider</t>
  </si>
  <si>
    <t>Recipient</t>
  </si>
  <si>
    <t>Update Frequency in Years</t>
  </si>
  <si>
    <t>Frequency (days)</t>
  </si>
  <si>
    <t>Last Update</t>
  </si>
  <si>
    <t>Current Update</t>
  </si>
  <si>
    <t>Next Update</t>
  </si>
  <si>
    <t>Days to Update</t>
  </si>
  <si>
    <t>Last Value</t>
  </si>
  <si>
    <t>Current Value</t>
  </si>
  <si>
    <t>Comments</t>
  </si>
  <si>
    <t>T&amp;D Engineering</t>
  </si>
  <si>
    <t>T. Trang</t>
  </si>
  <si>
    <t>Substation Capacities and Costs</t>
  </si>
  <si>
    <t>Substation Capacities</t>
  </si>
  <si>
    <t>25, 41</t>
  </si>
  <si>
    <t>Capacity for 25 MVA</t>
  </si>
  <si>
    <t>Capacity for 50 MVA</t>
  </si>
  <si>
    <t>Capacity for 41 MVA</t>
  </si>
  <si>
    <t>Capacity for 80 MVA</t>
  </si>
  <si>
    <t>Capital Costs for 25 MVA</t>
  </si>
  <si>
    <t>Capital Costs for 50 MVA</t>
  </si>
  <si>
    <t>Capital Costs for 41 MVA</t>
  </si>
  <si>
    <t>Capital Costs for 80 MVA</t>
  </si>
  <si>
    <t>Useable MW for 25 MVA</t>
  </si>
  <si>
    <t>Useable MW for 50 MVA</t>
  </si>
  <si>
    <t>Useable MW for 41 MVA</t>
  </si>
  <si>
    <t>Useable MW for 80 MVA</t>
  </si>
  <si>
    <t>Distribution Costs</t>
  </si>
  <si>
    <t>Dist Estimate</t>
  </si>
  <si>
    <t>T. Schwiesow</t>
  </si>
  <si>
    <t>Overhead</t>
  </si>
  <si>
    <t>Primary Metering and Disconnect MW</t>
  </si>
  <si>
    <t>Primary Metering and Disconnect per mile</t>
  </si>
  <si>
    <t>Single Circuit 366 AAC MW threshold</t>
  </si>
  <si>
    <t>Single Circuit 795 AAC MW threshold</t>
  </si>
  <si>
    <t>Underground</t>
  </si>
  <si>
    <t>Primary Metering gear with Vault minimum size</t>
  </si>
  <si>
    <t>Primary Metering gear with Vault Cost</t>
  </si>
  <si>
    <t>Customer provided Demarcation Gear Minimum size / Primary Metering gear with Vault size cutoff</t>
  </si>
  <si>
    <t>Customer provided Demarcation Gear Cost</t>
  </si>
  <si>
    <t>Distribution 1Cktt 1100-EPR MW Min</t>
  </si>
  <si>
    <t>Distribution 2 Ckt 1100-EPR MW Min</t>
  </si>
  <si>
    <t>Distribution 3 Ckt 1100-EPR MW Min</t>
  </si>
  <si>
    <t>Distribution 4 Ckt 1100-EPR MW Min</t>
  </si>
  <si>
    <t>Distribution 5 Ckt 1100-EPR MW Min</t>
  </si>
  <si>
    <t>Distribution 6 Ckt 1100-EPR MW Min</t>
  </si>
  <si>
    <t>Distribution 1Cktt 1100-EPR per mile cost</t>
  </si>
  <si>
    <t>Distribution 2 Ckt 1100-EPR per Mile cost</t>
  </si>
  <si>
    <t>Distribution 3 Ckt 1100-EPR per Mile cost</t>
  </si>
  <si>
    <t>Distribution 4 Ckt 1100-EPR per Mile cost</t>
  </si>
  <si>
    <t>Distribution 5 Ckt 1100-EPR per Mile cost</t>
  </si>
  <si>
    <t>Distribution 6 Ckt 1100-EPR per Mile cost</t>
  </si>
  <si>
    <t>Distribution 1Cktt 1100-EPR connect multiplier</t>
  </si>
  <si>
    <t>Distribution 2 Ckt 1100-EPR connect multiplier</t>
  </si>
  <si>
    <t>Distribution 3 Ckt 1100-EPR connect multiplier</t>
  </si>
  <si>
    <t>Distribution 4 Ckt 1100-EPR connect multiplier</t>
  </si>
  <si>
    <t>Distribution 5 Ckt 1100-EPR connect multiplier</t>
  </si>
  <si>
    <t>Distribution 6 Ckt 1100-EPR connect multiplier</t>
  </si>
  <si>
    <t>Transmission Costs</t>
  </si>
  <si>
    <t>per mile 230 kV</t>
  </si>
  <si>
    <t>per mile 115 kV</t>
  </si>
  <si>
    <t>Contingency</t>
  </si>
  <si>
    <t>Large Power Solutions</t>
  </si>
  <si>
    <t>L. Szablya</t>
  </si>
  <si>
    <t>O&amp;M Costs / MVA / yr</t>
  </si>
  <si>
    <t>C. Kaml</t>
  </si>
  <si>
    <t>Asset Life</t>
  </si>
  <si>
    <t>M. Facey</t>
  </si>
  <si>
    <t>Cost of Equity and Debt</t>
  </si>
  <si>
    <t>FP&amp;A</t>
  </si>
  <si>
    <t>J. Mertlich</t>
  </si>
  <si>
    <t>The cost of capital will be broken down as described in the calculator (Equity/Debt, Percentage of Funding &amp; .  We need to check with FP&amp;A as to the appropriate cost of capital to use as they are likely to start publishing different tenors and/or strips in Q4 2019. For the 5/16 update John M. Oked running a breakeven on the cost of equity component using 3.3% cost of debt and 60/40% Debt/Equity capital structure.</t>
  </si>
  <si>
    <t>Percent Equity</t>
  </si>
  <si>
    <t>Percentage of Debt</t>
  </si>
  <si>
    <t>Substation Configuration and Description</t>
  </si>
  <si>
    <t>M. Truscott</t>
  </si>
  <si>
    <t>Allowed Sizes</t>
  </si>
  <si>
    <t>Substation Expansion Type</t>
  </si>
  <si>
    <t>Input Areas in Mustard</t>
  </si>
  <si>
    <t>Transformer Type</t>
  </si>
  <si>
    <t>Commercial</t>
  </si>
  <si>
    <t>Useable MVA</t>
  </si>
  <si>
    <t>Current Assumptions</t>
  </si>
  <si>
    <t>Manual Entry</t>
  </si>
  <si>
    <t>Substation Capacities and Costs*</t>
  </si>
  <si>
    <t>Nameplate MVA</t>
  </si>
  <si>
    <t>$</t>
  </si>
  <si>
    <t>$/yr</t>
  </si>
  <si>
    <t>Max Transmission Distance</t>
  </si>
  <si>
    <t>Max Distribution Distance</t>
  </si>
  <si>
    <t>Transmission Voltage</t>
  </si>
  <si>
    <t>Cost</t>
  </si>
  <si>
    <t>Base Distribution</t>
  </si>
  <si>
    <t>OH Sizes</t>
  </si>
  <si>
    <t>Miscellaneous Cost</t>
  </si>
  <si>
    <t>Miscellaneous</t>
  </si>
  <si>
    <t>Distribution Beyond Substation</t>
  </si>
  <si>
    <t>Transmission</t>
  </si>
  <si>
    <t>Substation Component</t>
  </si>
  <si>
    <t>Miscellaneous Component</t>
  </si>
  <si>
    <t>Total Contribution</t>
  </si>
  <si>
    <t>Distribution Distance</t>
  </si>
  <si>
    <t>$ per Mile</t>
  </si>
  <si>
    <t>Customer Contribution Calculator*</t>
  </si>
  <si>
    <t>* Calculator is for Estimation only for requests 3 - 20 MVA</t>
  </si>
  <si>
    <t>Louis Szablya</t>
  </si>
  <si>
    <t>OH Feeder</t>
  </si>
  <si>
    <t>Feeder</t>
  </si>
  <si>
    <t>n/a</t>
  </si>
  <si>
    <t>UG Feeder</t>
  </si>
  <si>
    <t>Station Contingency</t>
  </si>
  <si>
    <t>Feeder Contingency</t>
  </si>
  <si>
    <t>Distribution Feeder</t>
  </si>
  <si>
    <t>Transformer Size</t>
  </si>
  <si>
    <t>Depreciation for Distance</t>
  </si>
  <si>
    <t>Depreciation for distance</t>
  </si>
  <si>
    <t>Depreciation Factor</t>
  </si>
  <si>
    <t>Percent of Max distance</t>
  </si>
  <si>
    <t>Distance Factor</t>
  </si>
  <si>
    <t>Total Substation Capital</t>
  </si>
  <si>
    <t>Total Substation Base Capital</t>
  </si>
  <si>
    <t>Transmission Line</t>
  </si>
  <si>
    <t>Distance Adjustment</t>
  </si>
  <si>
    <t>O&amp;M</t>
  </si>
  <si>
    <t>Transmission Annual O&amp;M</t>
  </si>
  <si>
    <t>Distribution Annual O&amp;M</t>
  </si>
  <si>
    <t>Not Used</t>
  </si>
  <si>
    <t>Mile</t>
  </si>
  <si>
    <t>Substation Capital</t>
  </si>
  <si>
    <t>Unallocated</t>
  </si>
  <si>
    <t>mi</t>
  </si>
  <si>
    <t>%</t>
  </si>
  <si>
    <t>Substation Distance Factor</t>
  </si>
  <si>
    <t>Unallocated O&amp;M</t>
  </si>
  <si>
    <t>% of Max Distance</t>
  </si>
  <si>
    <t>Distance Factors</t>
  </si>
  <si>
    <t>Cost per Usable MVA</t>
  </si>
  <si>
    <t>Substation cost per Useable MVA</t>
  </si>
  <si>
    <t>$/MVA</t>
  </si>
  <si>
    <t>Overall Cost of Capital</t>
  </si>
  <si>
    <t>a</t>
  </si>
  <si>
    <t>b</t>
  </si>
  <si>
    <t>c</t>
  </si>
  <si>
    <t>Unallocated Capacity</t>
  </si>
  <si>
    <t xml:space="preserve"> =  (Maximum Load - Nomination) * Annual O&amp;M * Years to Full Load</t>
  </si>
  <si>
    <t xml:space="preserve"> = Unallocated Base + Unallocated O&amp;M</t>
  </si>
  <si>
    <t>Nomination Contribution</t>
  </si>
  <si>
    <t xml:space="preserve"> =  (Substation Capital / Maximum Load) * (Nomination )</t>
  </si>
  <si>
    <t>Distance Variables</t>
  </si>
  <si>
    <t>Capital not allocated within the substation</t>
  </si>
  <si>
    <t>Cost of Equity for the base capital adjusted for distance</t>
  </si>
  <si>
    <t>Cost of Debt for the base capital adjusted for distance</t>
  </si>
  <si>
    <t>Customer Contribution Summary</t>
  </si>
  <si>
    <t>Contrribution associated with any distribution work outside the substation</t>
  </si>
  <si>
    <t>Contibution to cover anything not included above</t>
  </si>
  <si>
    <t>2nd Lineup</t>
  </si>
  <si>
    <t>Substation Components</t>
  </si>
  <si>
    <t>Current Case</t>
  </si>
  <si>
    <t>Total</t>
  </si>
  <si>
    <t>Named variables to make formulas easier to follow
Moved Transmission calcs to Assumption tab
Cleaned up display on Assumptions tab
Cleaned up display on Calculation tab and re-oreders to be logical
Restricted inputs on Calculator Tab to only allow appropriate inputs
Added Distance Adjustment tabel to deal with negative adjustments due to nonlinearities.</t>
  </si>
  <si>
    <t>Modified calculator added 2nd Lineup to Substation Type</t>
  </si>
  <si>
    <t>Existing</t>
  </si>
  <si>
    <t>New</t>
  </si>
  <si>
    <t>New 2nd Lineup</t>
  </si>
  <si>
    <t>Future</t>
  </si>
  <si>
    <t>Substation Type</t>
  </si>
  <si>
    <t>Base Transmission (Not Used)</t>
  </si>
  <si>
    <t>Cost per MVA</t>
  </si>
  <si>
    <t>Transmission to Substation</t>
  </si>
  <si>
    <t>Demarcation</t>
  </si>
  <si>
    <t>UG Demarcation</t>
  </si>
  <si>
    <t>OH Demarcation</t>
  </si>
  <si>
    <t>Total Distribution Feeder</t>
  </si>
  <si>
    <t>Corrected O&amp;M Calculation in cell Calculatio!C39 to reflect percent of BASE O&amp;M multiplied by 1 minus % of max distance</t>
  </si>
  <si>
    <t xml:space="preserve">Changed Substation size assumption from 20 MVA to 41 MVA per C-Suite. Also made updates to inputs form Baxter email. </t>
  </si>
  <si>
    <t>Per Jesus: Tom confirms that the numbers used on the distribution side are valid since they were furnished less than a year ago and don’t change much.   The distribution numbers should be reviewed in January 2020 after we gain some experience with the upcoming dock crew contract.  Frequency updated to match this request; default value is 2 years.</t>
  </si>
  <si>
    <t>update for 2019 and then 1 year update thereafter; 190701_Final 2018 December Monthly reports bag_v02_working</t>
  </si>
  <si>
    <t>5MVA, 41MVA-New</t>
  </si>
  <si>
    <t>Cleaned up some cells that are no longer needed on the Distance Adjustment Tab</t>
  </si>
  <si>
    <t xml:space="preserve">Current Case </t>
  </si>
  <si>
    <t>years to full load</t>
  </si>
  <si>
    <t>Adjusted Nomination</t>
  </si>
  <si>
    <t>Linear</t>
  </si>
  <si>
    <t>d</t>
  </si>
  <si>
    <t>e</t>
  </si>
  <si>
    <t>f</t>
  </si>
  <si>
    <t>j</t>
  </si>
  <si>
    <t>k</t>
  </si>
  <si>
    <t>l</t>
  </si>
  <si>
    <t>m</t>
  </si>
  <si>
    <t>n</t>
  </si>
  <si>
    <t>Nominated Substation Capital</t>
  </si>
  <si>
    <t>Nominated Capacity</t>
  </si>
  <si>
    <t>Only applies to new construction</t>
  </si>
  <si>
    <t>o</t>
  </si>
  <si>
    <t>p</t>
  </si>
  <si>
    <t>q</t>
  </si>
  <si>
    <t>Unnallocated Capacity * e</t>
  </si>
  <si>
    <t>b * d</t>
  </si>
  <si>
    <t>% of a</t>
  </si>
  <si>
    <t>Capital</t>
  </si>
  <si>
    <t>Assigned Capital</t>
  </si>
  <si>
    <t>Assigned Debt Cost</t>
  </si>
  <si>
    <t>Assigned Equity Cost</t>
  </si>
  <si>
    <t>Total Financing Cost</t>
  </si>
  <si>
    <t>% of c</t>
  </si>
  <si>
    <t>Adder</t>
  </si>
  <si>
    <t>Adjusted Capital</t>
  </si>
  <si>
    <t>Minimum Mile Increment</t>
  </si>
  <si>
    <t>Base</t>
  </si>
  <si>
    <t>g</t>
  </si>
  <si>
    <t>h</t>
  </si>
  <si>
    <t>i</t>
  </si>
  <si>
    <t>f + g</t>
  </si>
  <si>
    <t>Substation Capital - i</t>
  </si>
  <si>
    <t>Assigned Capacity</t>
  </si>
  <si>
    <t>Capture Ratio</t>
  </si>
  <si>
    <t>Capture Ratio * j</t>
  </si>
  <si>
    <t>Exponential</t>
  </si>
  <si>
    <t>Years to Full Load (YTFL)</t>
  </si>
  <si>
    <t>Cost * h</t>
  </si>
  <si>
    <t>Max</t>
  </si>
  <si>
    <t>(Max - h) * Capture Ratio</t>
  </si>
  <si>
    <t>Distance  Pro-Rata Depreciation</t>
  </si>
  <si>
    <t>YTFL</t>
  </si>
  <si>
    <t>Max  Distance</t>
  </si>
  <si>
    <t>Debt Interest * l * YTFL</t>
  </si>
  <si>
    <t>Equity Return * l * YTFL</t>
  </si>
  <si>
    <t>m + n</t>
  </si>
  <si>
    <t>l + m + P</t>
  </si>
  <si>
    <t>Overnight Cost</t>
  </si>
  <si>
    <t>Total overnight cost of the Substation</t>
  </si>
  <si>
    <t>This Unallocated component only applies to new substation construction</t>
  </si>
  <si>
    <t>Unallocated Total Substation Capital</t>
  </si>
  <si>
    <t>Unallocated Assigned Capital</t>
  </si>
  <si>
    <t>Total Unallocated Substation</t>
  </si>
  <si>
    <t>Usable Substation Capacity</t>
  </si>
  <si>
    <t>Per usable MVA of overnight costs</t>
  </si>
  <si>
    <t>Substation Cost per Usable MVA</t>
  </si>
  <si>
    <t>Unallocated Base Capital</t>
  </si>
  <si>
    <t>Unallocated Assigned Debt Cost</t>
  </si>
  <si>
    <t>Unallocated Assigned Equity Return</t>
  </si>
  <si>
    <t>Total Unallocated Base Financing Costs</t>
  </si>
  <si>
    <t>Percent of Unallocated Base Capital assigned to customer for distance</t>
  </si>
  <si>
    <t>Nomination Adjustment for Distance</t>
  </si>
  <si>
    <t>Nomination Adder for Distance</t>
  </si>
  <si>
    <t>Nominated Substation Capital Adder</t>
  </si>
  <si>
    <t xml:space="preserve"> = (Substation Capital / Usable MVA) * (Usable MVA - Nomination)  / Asset Life * (Years to Full Load)</t>
  </si>
  <si>
    <t xml:space="preserve"> = Unallocated Capacity * Distance Factor</t>
  </si>
  <si>
    <t xml:space="preserve"> = Nomination Adder * Cost per Usable MVA</t>
  </si>
  <si>
    <t>Unallocated Distance Adjustment</t>
  </si>
  <si>
    <t>Total Distance Adjusted Nomination</t>
  </si>
  <si>
    <t xml:space="preserve"> = Nomination + Nomination Adder</t>
  </si>
  <si>
    <t>Unallocated Assigned Capacity</t>
  </si>
  <si>
    <t xml:space="preserve"> = Cost per Usable MVA * Unallocated Assigned Capacity</t>
  </si>
  <si>
    <t>Unallocated Assigned Equity</t>
  </si>
  <si>
    <t>Unallocated Assigned Debt</t>
  </si>
  <si>
    <t xml:space="preserve"> = Unallocated Assigned Capital * Debt Interest Rate * Years to Full Load</t>
  </si>
  <si>
    <t xml:space="preserve"> = Unallocated Assigned Capital * Equity Return * Years to Full Load</t>
  </si>
  <si>
    <t xml:space="preserve"> = Unallocated O&amp;M * (1 - Percent of Max Distance)</t>
  </si>
  <si>
    <t>Total Unallocated Distance Adjustment</t>
  </si>
  <si>
    <t xml:space="preserve"> = SUM(Unallocated Capital, Debt, Equity, O&amp;M)</t>
  </si>
  <si>
    <t xml:space="preserve"> = sum( Unallocated Debt, Equity)</t>
  </si>
  <si>
    <t xml:space="preserve"> = (Max Load - Adjusted Nomination) * Years to Full Load/Life of Assets</t>
  </si>
  <si>
    <t>Unallocated Capital Distance Assignment</t>
  </si>
  <si>
    <t>Total Constribution for Substation</t>
  </si>
  <si>
    <t xml:space="preserve"> = Sum(Nomination, Nomination Adjustment, Unallocated Assignment)</t>
  </si>
  <si>
    <t>Contribution related to  the substation</t>
  </si>
  <si>
    <t>Contribution to cover the construction of the transmission tap</t>
  </si>
  <si>
    <t>Total  Customer Contribution</t>
  </si>
  <si>
    <t>Transmission Extension</t>
  </si>
  <si>
    <t>Cleaned up Distance Adjustment Tab.  Made sure fomulas were using names.  
Added the linear and non-linear portions of the  calculation to this rab</t>
  </si>
  <si>
    <t>Went through entire model and created named ranges where practical.  Simplified calculation to remove complex quadratic solution component.
Also cleaned up presentation and notes on the sides.  Updated the Distance Adjustment Tab</t>
  </si>
  <si>
    <t>Revision 08/07/2019</t>
  </si>
  <si>
    <t>CC110011 - REF 190807</t>
  </si>
  <si>
    <t>Corrected minor items and sent to John Mertlich for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</si>
</sst>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4" formatCode="_(&quot;$&quot;* #,##0.00_);_(&quot;$&quot;* \(#,##0.00\);_(&quot;$&quot;* &quot;-&quot;??_);_(@_)"/>
    <numFmt numFmtId="43" formatCode="_(* #,##0.00_);_(* \(#,##0.00\);_(* &quot;-&quot;??_);_(@_)"/>
    <numFmt numFmtId="164" formatCode="&quot; &quot;&quot;$&quot;* #,##0&quot; &quot;;&quot; &quot;&quot;$&quot;* \(#,##0\);&quot; &quot;&quot;$&quot;* &quot;-&quot;??&quot; &quot;"/>
    <numFmt numFmtId="165" formatCode="_(&quot;$&quot;* #,##0_);_(&quot;$&quot;* \(#,##0\);_(&quot;$&quot;* &quot;-&quot;??_);_(@_)"/>
    <numFmt numFmtId="166" formatCode="&quot;$&quot;#,##0"/>
    <numFmt numFmtId="167" formatCode="&quot;$&quot;#,##0.00"/>
    <numFmt numFmtId="168" formatCode="0.000%"/>
    <numFmt numFmtId="169" formatCode="_(* #,##0_);_(* \(#,##0\);_(* &quot;-&quot;??_);_(@_)"/>
    <numFmt numFmtId="170" formatCode="0.0"/>
    <numFmt numFmtId="171" formatCode="0.0&quot; miles&quot;"/>
    <numFmt numFmtId="172" formatCode="0&quot; MVA&quot;"/>
    <numFmt numFmtId="173" formatCode="_(&quot;$&quot;* #,##0_);_(&quot;$&quot;* \(#,##0\);_(&quot;$&quot;* &quot;-&quot;?_);_(@_)"/>
    <numFmt numFmtId="174" formatCode="0.0000"/>
    <numFmt numFmtId="175" formatCode="_(&quot;$&quot;* #.0,,_);_(&quot;$&quot;* \(#.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font>
    <font>
      <sz val="10"/>
      <name val="Arial"/>
      <family val="2"/>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14"/>
      <color theme="0"/>
      <name val="Calibri"/>
      <family val="2"/>
      <scheme val="minor"/>
    </font>
    <font>
      <sz val="20"/>
      <color theme="1"/>
      <name val="Calibri"/>
      <family val="2"/>
      <scheme val="minor"/>
    </font>
    <font>
      <sz val="11"/>
      <color rgb="FF0070C0"/>
      <name val="Calibri"/>
      <family val="2"/>
      <scheme val="minor"/>
    </font>
    <font>
      <sz val="11"/>
      <color rgb="FF7030A0"/>
      <name val="Calibri"/>
      <family val="2"/>
      <scheme val="minor"/>
    </font>
    <font>
      <sz val="14"/>
      <color theme="0" tint="-0.249977111117893"/>
      <name val="Calibri"/>
      <family val="2"/>
      <scheme val="minor"/>
    </font>
    <font>
      <sz val="11"/>
      <name val="Calibri"/>
      <family val="2"/>
      <scheme val="minor"/>
    </font>
    <font>
      <b/>
      <sz val="14"/>
      <color theme="0"/>
      <name val="Calibri"/>
      <family val="2"/>
      <scheme val="minor"/>
    </font>
    <font>
      <sz val="11"/>
      <color rgb="FF1A1A1A"/>
      <name val="Calibri"/>
      <family val="2"/>
      <scheme val="minor"/>
    </font>
    <font>
      <sz val="11"/>
      <color theme="0"/>
      <name val="Calibri"/>
      <family val="2"/>
      <scheme val="minor"/>
    </font>
    <font>
      <sz val="11"/>
      <color theme="1" tint="0.499984740745262"/>
      <name val="Calibri"/>
      <family val="2"/>
      <scheme val="minor"/>
    </font>
    <font>
      <sz val="11"/>
      <color rgb="FF716258"/>
      <name val="Calibri"/>
      <family val="2"/>
      <scheme val="minor"/>
    </font>
    <font>
      <sz val="12"/>
      <color theme="1"/>
      <name val="Calibri"/>
      <family val="2"/>
      <scheme val="minor"/>
    </font>
    <font>
      <b/>
      <sz val="12"/>
      <color theme="0"/>
      <name val="Calibri"/>
      <family val="2"/>
      <scheme val="minor"/>
    </font>
    <font>
      <b/>
      <sz val="12"/>
      <name val="Calibri"/>
      <family val="2"/>
      <scheme val="minor"/>
    </font>
    <font>
      <b/>
      <sz val="12"/>
      <color theme="1"/>
      <name val="Calibri"/>
      <family val="2"/>
      <scheme val="minor"/>
    </font>
    <font>
      <sz val="12"/>
      <color theme="4" tint="-0.249977111117893"/>
      <name val="Calibri"/>
      <family val="2"/>
      <scheme val="minor"/>
    </font>
    <font>
      <sz val="12"/>
      <name val="Calibri"/>
      <family val="2"/>
      <scheme val="minor"/>
    </font>
    <font>
      <sz val="12"/>
      <color theme="4" tint="-0.499984740745262"/>
      <name val="Calibri"/>
      <family val="2"/>
      <scheme val="minor"/>
    </font>
    <font>
      <b/>
      <sz val="11"/>
      <color theme="0"/>
      <name val="Calibri"/>
      <family val="2"/>
      <scheme val="minor"/>
    </font>
    <font>
      <sz val="11"/>
      <color theme="4" tint="-0.249977111117893"/>
      <name val="Calibri"/>
      <family val="2"/>
      <scheme val="minor"/>
    </font>
    <font>
      <b/>
      <sz val="11"/>
      <name val="Calibri"/>
      <family val="2"/>
      <scheme val="minor"/>
    </font>
    <font>
      <b/>
      <sz val="11"/>
      <color rgb="FF1A1A1A"/>
      <name val="Calibri"/>
      <family val="2"/>
      <scheme val="minor"/>
    </font>
    <font>
      <sz val="11"/>
      <color rgb="FF003082"/>
      <name val="Calibri"/>
      <family val="2"/>
      <scheme val="minor"/>
    </font>
    <font>
      <sz val="11"/>
      <color theme="0" tint="-0.14999847407452621"/>
      <name val="Calibri"/>
      <family val="2"/>
      <scheme val="minor"/>
    </font>
    <font>
      <sz val="10"/>
      <color theme="3"/>
      <name val="Calibri"/>
      <family val="2"/>
      <scheme val="minor"/>
    </font>
    <font>
      <sz val="10"/>
      <color theme="4" tint="-0.249977111117893"/>
      <name val="Calibri"/>
      <family val="2"/>
      <scheme val="minor"/>
    </font>
    <font>
      <b/>
      <sz val="11"/>
      <color rgb="FF716258"/>
      <name val="Calibri"/>
      <family val="2"/>
      <scheme val="minor"/>
    </font>
    <font>
      <b/>
      <sz val="11"/>
      <color rgb="FF003082"/>
      <name val="Calibri"/>
      <family val="2"/>
      <scheme val="minor"/>
    </font>
    <font>
      <b/>
      <sz val="11"/>
      <color rgb="FFE57200"/>
      <name val="Calibri"/>
      <family val="2"/>
      <scheme val="minor"/>
    </font>
  </fonts>
  <fills count="26">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rgb="FFD97300"/>
        <bgColor indexed="64"/>
      </patternFill>
    </fill>
    <fill>
      <patternFill patternType="solid">
        <fgColor rgb="FF003082"/>
        <bgColor indexed="64"/>
      </patternFill>
    </fill>
    <fill>
      <patternFill patternType="solid">
        <fgColor rgb="FF003082"/>
        <bgColor theme="1"/>
      </patternFill>
    </fill>
    <fill>
      <patternFill patternType="solid">
        <fgColor theme="9" tint="-0.249977111117893"/>
        <bgColor indexed="64"/>
      </patternFill>
    </fill>
    <fill>
      <patternFill patternType="solid">
        <fgColor theme="4" tint="0.39997558519241921"/>
        <bgColor indexed="64"/>
      </patternFill>
    </fill>
    <fill>
      <patternFill patternType="solid">
        <fgColor theme="7"/>
        <bgColor indexed="64"/>
      </patternFill>
    </fill>
    <fill>
      <patternFill patternType="solid">
        <fgColor theme="9"/>
        <bgColor indexed="64"/>
      </patternFill>
    </fill>
    <fill>
      <patternFill patternType="solid">
        <fgColor rgb="FFFFC72C"/>
        <bgColor indexed="64"/>
      </patternFill>
    </fill>
    <fill>
      <patternFill patternType="solid">
        <fgColor rgb="FF002D72"/>
        <bgColor indexed="64"/>
      </patternFill>
    </fill>
    <fill>
      <patternFill patternType="solid">
        <fgColor rgb="FFE57200"/>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FF0000"/>
        <bgColor indexed="64"/>
      </patternFill>
    </fill>
  </fills>
  <borders count="103">
    <border>
      <left/>
      <right/>
      <top/>
      <bottom/>
      <diagonal/>
    </border>
    <border>
      <left/>
      <right/>
      <top style="thin">
        <color indexed="8"/>
      </top>
      <bottom/>
      <diagonal/>
    </border>
    <border>
      <left/>
      <right/>
      <top style="thin">
        <color indexed="8"/>
      </top>
      <bottom style="thin">
        <color indexed="64"/>
      </bottom>
      <diagonal/>
    </border>
    <border>
      <left style="thin">
        <color theme="1"/>
      </left>
      <right/>
      <top style="thin">
        <color indexed="8"/>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indexed="8"/>
      </top>
      <bottom/>
      <diagonal/>
    </border>
    <border>
      <left/>
      <right style="thin">
        <color theme="1"/>
      </right>
      <top style="thin">
        <color indexed="8"/>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diagonal/>
    </border>
    <border>
      <left/>
      <right/>
      <top style="thin">
        <color theme="0"/>
      </top>
      <bottom/>
      <diagonal/>
    </border>
    <border>
      <left/>
      <right style="thin">
        <color theme="0"/>
      </right>
      <top style="thin">
        <color theme="0"/>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ouble">
        <color auto="1"/>
      </right>
      <top style="double">
        <color auto="1"/>
      </top>
      <bottom style="thin">
        <color theme="0"/>
      </bottom>
      <diagonal/>
    </border>
    <border>
      <left style="double">
        <color auto="1"/>
      </left>
      <right/>
      <top style="thin">
        <color theme="0"/>
      </top>
      <bottom style="thin">
        <color theme="0"/>
      </bottom>
      <diagonal/>
    </border>
    <border>
      <left/>
      <right style="double">
        <color auto="1"/>
      </right>
      <top style="thin">
        <color theme="0"/>
      </top>
      <bottom style="thin">
        <color theme="0"/>
      </bottom>
      <diagonal/>
    </border>
    <border>
      <left style="double">
        <color auto="1"/>
      </left>
      <right/>
      <top/>
      <bottom/>
      <diagonal/>
    </border>
    <border>
      <left/>
      <right style="double">
        <color auto="1"/>
      </right>
      <top/>
      <bottom/>
      <diagonal/>
    </border>
    <border>
      <left style="double">
        <color auto="1"/>
      </left>
      <right/>
      <top style="thin">
        <color theme="0"/>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medium">
        <color indexed="64"/>
      </right>
      <top style="double">
        <color auto="1"/>
      </top>
      <bottom style="thin">
        <color auto="1"/>
      </bottom>
      <diagonal/>
    </border>
    <border>
      <left style="medium">
        <color indexed="64"/>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style="thin">
        <color indexed="64"/>
      </left>
      <right style="double">
        <color auto="1"/>
      </right>
      <top style="thin">
        <color indexed="64"/>
      </top>
      <bottom style="thin">
        <color indexed="64"/>
      </bottom>
      <diagonal/>
    </border>
    <border>
      <left style="thin">
        <color indexed="64"/>
      </left>
      <right style="double">
        <color auto="1"/>
      </right>
      <top/>
      <bottom/>
      <diagonal/>
    </border>
    <border>
      <left style="double">
        <color auto="1"/>
      </left>
      <right/>
      <top style="thin">
        <color indexed="64"/>
      </top>
      <bottom/>
      <diagonal/>
    </border>
    <border>
      <left style="thin">
        <color indexed="64"/>
      </left>
      <right/>
      <top/>
      <bottom style="double">
        <color auto="1"/>
      </bottom>
      <diagonal/>
    </border>
    <border>
      <left/>
      <right/>
      <top/>
      <bottom style="double">
        <color auto="1"/>
      </bottom>
      <diagonal/>
    </border>
    <border>
      <left style="thick">
        <color indexed="64"/>
      </left>
      <right style="thin">
        <color indexed="64"/>
      </right>
      <top style="thick">
        <color indexed="64"/>
      </top>
      <bottom style="thin">
        <color auto="1"/>
      </bottom>
      <diagonal/>
    </border>
    <border>
      <left style="thin">
        <color indexed="64"/>
      </left>
      <right style="thin">
        <color indexed="64"/>
      </right>
      <top style="thick">
        <color indexed="64"/>
      </top>
      <bottom style="thin">
        <color auto="1"/>
      </bottom>
      <diagonal/>
    </border>
    <border>
      <left style="thin">
        <color indexed="64"/>
      </left>
      <right style="thick">
        <color indexed="64"/>
      </right>
      <top style="thick">
        <color indexed="64"/>
      </top>
      <bottom style="thin">
        <color auto="1"/>
      </bottom>
      <diagonal/>
    </border>
    <border>
      <left style="thick">
        <color indexed="64"/>
      </left>
      <right style="thin">
        <color indexed="64"/>
      </right>
      <top/>
      <bottom style="thin">
        <color auto="1"/>
      </bottom>
      <diagonal/>
    </border>
    <border>
      <left style="thin">
        <color indexed="64"/>
      </left>
      <right style="thick">
        <color indexed="64"/>
      </right>
      <top/>
      <bottom style="thin">
        <color auto="1"/>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auto="1"/>
      </top>
      <bottom/>
      <diagonal/>
    </border>
    <border>
      <left style="thin">
        <color indexed="64"/>
      </left>
      <right style="thick">
        <color indexed="64"/>
      </right>
      <top style="thin">
        <color auto="1"/>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double">
        <color auto="1"/>
      </left>
      <right style="thin">
        <color auto="1"/>
      </right>
      <top/>
      <bottom/>
      <diagonal/>
    </border>
    <border>
      <left/>
      <right style="thin">
        <color auto="1"/>
      </right>
      <top/>
      <bottom style="double">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90">
    <xf numFmtId="0" fontId="0" fillId="0" borderId="0" xfId="0"/>
    <xf numFmtId="164" fontId="0" fillId="0" borderId="1" xfId="0" applyNumberFormat="1" applyFont="1" applyBorder="1" applyAlignment="1"/>
    <xf numFmtId="0" fontId="0" fillId="0" borderId="0" xfId="0" applyAlignment="1">
      <alignment horizontal="center"/>
    </xf>
    <xf numFmtId="0" fontId="0" fillId="0" borderId="5" xfId="0" applyBorder="1" applyAlignment="1">
      <alignment horizontal="center"/>
    </xf>
    <xf numFmtId="49" fontId="4" fillId="2" borderId="6" xfId="0" applyNumberFormat="1" applyFont="1" applyFill="1" applyBorder="1" applyAlignment="1">
      <alignment horizontal="center"/>
    </xf>
    <xf numFmtId="49" fontId="4" fillId="2" borderId="7" xfId="0" applyNumberFormat="1" applyFont="1" applyFill="1" applyBorder="1" applyAlignment="1">
      <alignment horizontal="center"/>
    </xf>
    <xf numFmtId="0" fontId="4" fillId="2" borderId="8" xfId="0" applyFont="1" applyFill="1" applyBorder="1"/>
    <xf numFmtId="49" fontId="5" fillId="3" borderId="9" xfId="0" applyNumberFormat="1" applyFont="1" applyFill="1" applyBorder="1" applyAlignment="1"/>
    <xf numFmtId="164" fontId="0" fillId="3" borderId="1" xfId="0" applyNumberFormat="1" applyFont="1" applyFill="1" applyBorder="1" applyAlignment="1"/>
    <xf numFmtId="0" fontId="0" fillId="3" borderId="10" xfId="0" applyFont="1" applyFill="1" applyBorder="1"/>
    <xf numFmtId="49" fontId="5" fillId="0" borderId="9" xfId="0" applyNumberFormat="1" applyFont="1" applyBorder="1" applyAlignment="1"/>
    <xf numFmtId="0" fontId="0" fillId="0" borderId="8" xfId="0" applyFont="1" applyBorder="1"/>
    <xf numFmtId="0" fontId="0" fillId="3" borderId="8" xfId="0" applyFont="1" applyFill="1" applyBorder="1"/>
    <xf numFmtId="49" fontId="5" fillId="3" borderId="3" xfId="0" applyNumberFormat="1" applyFont="1" applyFill="1" applyBorder="1" applyAlignment="1"/>
    <xf numFmtId="164" fontId="5" fillId="3" borderId="2" xfId="0" applyNumberFormat="1" applyFont="1" applyFill="1" applyBorder="1" applyAlignment="1"/>
    <xf numFmtId="0" fontId="0" fillId="3" borderId="4" xfId="0" applyFont="1" applyFill="1" applyBorder="1"/>
    <xf numFmtId="44" fontId="0" fillId="3" borderId="5" xfId="0" applyNumberFormat="1" applyFont="1" applyFill="1" applyBorder="1" applyAlignment="1"/>
    <xf numFmtId="44" fontId="0" fillId="0" borderId="5" xfId="0" applyNumberFormat="1" applyFont="1" applyFill="1" applyBorder="1" applyAlignment="1"/>
    <xf numFmtId="0" fontId="0" fillId="0" borderId="0" xfId="0" applyAlignment="1">
      <alignment wrapText="1"/>
    </xf>
    <xf numFmtId="44" fontId="0" fillId="0" borderId="0" xfId="1" applyFont="1"/>
    <xf numFmtId="0" fontId="0" fillId="0" borderId="0" xfId="0" applyAlignment="1">
      <alignment horizontal="center" vertical="center"/>
    </xf>
    <xf numFmtId="9" fontId="0" fillId="0" borderId="5" xfId="0" applyNumberFormat="1" applyBorder="1" applyAlignment="1">
      <alignment horizontal="center"/>
    </xf>
    <xf numFmtId="9" fontId="0" fillId="0" borderId="5" xfId="2" applyFont="1" applyBorder="1" applyAlignment="1">
      <alignment horizontal="center"/>
    </xf>
    <xf numFmtId="9" fontId="0" fillId="6" borderId="5" xfId="0" applyNumberFormat="1" applyFill="1" applyBorder="1" applyAlignment="1">
      <alignment horizontal="center"/>
    </xf>
    <xf numFmtId="9" fontId="0" fillId="6" borderId="5" xfId="2" applyFont="1" applyFill="1" applyBorder="1" applyAlignment="1">
      <alignment horizontal="center"/>
    </xf>
    <xf numFmtId="9" fontId="0" fillId="7" borderId="5" xfId="0" applyNumberFormat="1" applyFill="1" applyBorder="1" applyAlignment="1">
      <alignment horizontal="center"/>
    </xf>
    <xf numFmtId="9" fontId="0" fillId="7" borderId="5" xfId="2" applyFont="1" applyFill="1" applyBorder="1" applyAlignment="1">
      <alignment horizontal="center"/>
    </xf>
    <xf numFmtId="9" fontId="0" fillId="8" borderId="5" xfId="0" applyNumberFormat="1" applyFill="1" applyBorder="1" applyAlignment="1">
      <alignment horizontal="center"/>
    </xf>
    <xf numFmtId="9" fontId="0" fillId="8" borderId="5" xfId="2" applyFont="1" applyFill="1" applyBorder="1" applyAlignment="1">
      <alignment horizontal="center"/>
    </xf>
    <xf numFmtId="0" fontId="8" fillId="0" borderId="0" xfId="0" applyFont="1"/>
    <xf numFmtId="0" fontId="9" fillId="0" borderId="0" xfId="0" applyFont="1"/>
    <xf numFmtId="0" fontId="8" fillId="4" borderId="5" xfId="0" applyFont="1" applyFill="1" applyBorder="1" applyAlignment="1">
      <alignment horizontal="center"/>
    </xf>
    <xf numFmtId="0" fontId="10" fillId="0" borderId="0" xfId="0" applyFont="1"/>
    <xf numFmtId="0" fontId="10" fillId="9" borderId="5" xfId="0" applyFont="1" applyFill="1" applyBorder="1" applyAlignment="1">
      <alignment horizontal="center" vertical="top" wrapText="1"/>
    </xf>
    <xf numFmtId="0" fontId="8" fillId="7" borderId="0" xfId="0" applyFont="1" applyFill="1" applyAlignment="1">
      <alignment horizontal="center" vertical="center"/>
    </xf>
    <xf numFmtId="44" fontId="8" fillId="7" borderId="0" xfId="1" applyFont="1" applyFill="1" applyAlignment="1">
      <alignment horizontal="center"/>
    </xf>
    <xf numFmtId="9" fontId="8" fillId="7" borderId="0" xfId="2" applyFont="1" applyFill="1" applyAlignment="1">
      <alignment horizontal="center"/>
    </xf>
    <xf numFmtId="44" fontId="9" fillId="8" borderId="11" xfId="1" applyFont="1" applyFill="1" applyBorder="1" applyAlignment="1">
      <alignment horizontal="center"/>
    </xf>
    <xf numFmtId="8" fontId="0" fillId="0" borderId="0" xfId="0" applyNumberFormat="1"/>
    <xf numFmtId="0" fontId="0" fillId="0" borderId="0" xfId="0" applyAlignment="1">
      <alignment horizontal="right"/>
    </xf>
    <xf numFmtId="165" fontId="0" fillId="6" borderId="5" xfId="1" applyNumberFormat="1" applyFont="1" applyFill="1" applyBorder="1" applyAlignment="1">
      <alignment horizontal="center"/>
    </xf>
    <xf numFmtId="165" fontId="8" fillId="7" borderId="0" xfId="1" applyNumberFormat="1" applyFont="1" applyFill="1" applyAlignment="1">
      <alignment horizontal="center"/>
    </xf>
    <xf numFmtId="0" fontId="3" fillId="0" borderId="0" xfId="0" applyFont="1" applyAlignment="1">
      <alignment horizontal="right"/>
    </xf>
    <xf numFmtId="0" fontId="3" fillId="0" borderId="0" xfId="0" applyFont="1" applyAlignment="1">
      <alignment horizontal="center"/>
    </xf>
    <xf numFmtId="0" fontId="0" fillId="6" borderId="5" xfId="1" applyNumberFormat="1" applyFont="1" applyFill="1" applyBorder="1" applyAlignment="1">
      <alignment horizontal="center"/>
    </xf>
    <xf numFmtId="0" fontId="0" fillId="0" borderId="12" xfId="0" applyBorder="1" applyAlignment="1">
      <alignment horizontal="center"/>
    </xf>
    <xf numFmtId="0" fontId="0" fillId="0" borderId="5" xfId="0" applyBorder="1"/>
    <xf numFmtId="8" fontId="0" fillId="10" borderId="5" xfId="0" applyNumberFormat="1" applyFill="1" applyBorder="1"/>
    <xf numFmtId="0" fontId="14" fillId="0" borderId="0" xfId="0" applyFont="1"/>
    <xf numFmtId="0" fontId="0" fillId="6" borderId="13" xfId="0" applyFill="1" applyBorder="1" applyAlignment="1"/>
    <xf numFmtId="0" fontId="0" fillId="6" borderId="14" xfId="0" applyFill="1" applyBorder="1" applyAlignment="1"/>
    <xf numFmtId="0" fontId="0" fillId="0" borderId="15" xfId="1" applyNumberFormat="1" applyFont="1" applyFill="1" applyBorder="1" applyAlignment="1">
      <alignment horizontal="center"/>
    </xf>
    <xf numFmtId="0" fontId="3" fillId="0" borderId="0" xfId="0" applyFont="1"/>
    <xf numFmtId="49" fontId="4" fillId="2" borderId="0" xfId="0" applyNumberFormat="1" applyFont="1" applyFill="1" applyBorder="1" applyAlignment="1">
      <alignment horizontal="center"/>
    </xf>
    <xf numFmtId="0" fontId="0" fillId="0" borderId="0" xfId="0" applyFont="1"/>
    <xf numFmtId="165" fontId="0" fillId="0" borderId="0" xfId="1" applyNumberFormat="1" applyFont="1" applyFill="1" applyBorder="1"/>
    <xf numFmtId="0" fontId="2" fillId="0" borderId="0" xfId="0" applyFont="1"/>
    <xf numFmtId="0" fontId="3" fillId="0" borderId="0" xfId="0" applyFont="1" applyAlignment="1">
      <alignment wrapText="1"/>
    </xf>
    <xf numFmtId="165" fontId="0" fillId="0" borderId="0" xfId="1" applyNumberFormat="1" applyFont="1"/>
    <xf numFmtId="0" fontId="3" fillId="0" borderId="14" xfId="0" applyFont="1" applyBorder="1" applyAlignment="1"/>
    <xf numFmtId="0" fontId="3" fillId="0" borderId="14" xfId="0" applyFont="1" applyBorder="1" applyAlignment="1">
      <alignment wrapText="1"/>
    </xf>
    <xf numFmtId="14" fontId="3" fillId="0" borderId="0" xfId="0" applyNumberFormat="1" applyFont="1" applyAlignment="1">
      <alignment wrapText="1"/>
    </xf>
    <xf numFmtId="14" fontId="0" fillId="0" borderId="0" xfId="0" applyNumberFormat="1" applyFont="1"/>
    <xf numFmtId="169" fontId="0" fillId="0" borderId="0" xfId="3" applyNumberFormat="1" applyFont="1"/>
    <xf numFmtId="0" fontId="19" fillId="0" borderId="0" xfId="0" applyFont="1" applyAlignment="1">
      <alignment horizontal="left" wrapText="1"/>
    </xf>
    <xf numFmtId="0" fontId="20" fillId="0" borderId="0" xfId="0" applyFont="1"/>
    <xf numFmtId="0" fontId="20" fillId="0" borderId="0" xfId="0" applyFont="1" applyAlignment="1">
      <alignment horizontal="left" wrapText="1"/>
    </xf>
    <xf numFmtId="0" fontId="20" fillId="0" borderId="0" xfId="0" applyFont="1" applyAlignment="1">
      <alignment horizontal="left"/>
    </xf>
    <xf numFmtId="0" fontId="21" fillId="0" borderId="0" xfId="0" applyFont="1" applyAlignment="1">
      <alignment vertical="center"/>
    </xf>
    <xf numFmtId="0" fontId="21" fillId="0" borderId="27" xfId="0" applyFont="1" applyBorder="1" applyAlignment="1">
      <alignment horizontal="center" vertical="center" wrapText="1"/>
    </xf>
    <xf numFmtId="0" fontId="21" fillId="0" borderId="28" xfId="0" applyFont="1" applyBorder="1" applyAlignment="1">
      <alignment vertical="center"/>
    </xf>
    <xf numFmtId="0" fontId="21" fillId="0" borderId="15" xfId="0" applyFont="1" applyBorder="1" applyAlignment="1">
      <alignment vertical="center"/>
    </xf>
    <xf numFmtId="164" fontId="21" fillId="0" borderId="0" xfId="0" applyNumberFormat="1" applyFont="1" applyFill="1" applyBorder="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3" fillId="0" borderId="21" xfId="0" applyFont="1" applyBorder="1" applyAlignment="1">
      <alignment horizontal="center" vertical="center"/>
    </xf>
    <xf numFmtId="0" fontId="21" fillId="0" borderId="21" xfId="0" applyFont="1" applyBorder="1" applyAlignment="1">
      <alignment horizontal="center" vertical="center"/>
    </xf>
    <xf numFmtId="0" fontId="24" fillId="0" borderId="22" xfId="0" applyFont="1" applyBorder="1" applyAlignment="1">
      <alignment vertical="center"/>
    </xf>
    <xf numFmtId="0" fontId="21" fillId="0" borderId="24" xfId="0" applyFont="1" applyBorder="1" applyAlignment="1">
      <alignment vertical="center"/>
    </xf>
    <xf numFmtId="0" fontId="21" fillId="0" borderId="22" xfId="0" applyFont="1" applyBorder="1" applyAlignment="1">
      <alignment vertical="center"/>
    </xf>
    <xf numFmtId="0" fontId="21" fillId="0" borderId="15" xfId="0" applyFont="1" applyBorder="1" applyAlignment="1">
      <alignment horizontal="left" vertical="center"/>
    </xf>
    <xf numFmtId="0" fontId="26" fillId="0" borderId="15" xfId="0" applyFont="1" applyBorder="1" applyAlignment="1">
      <alignment vertical="center"/>
    </xf>
    <xf numFmtId="2" fontId="21" fillId="0" borderId="23" xfId="0" applyNumberFormat="1" applyFont="1" applyBorder="1" applyAlignment="1">
      <alignment vertical="center"/>
    </xf>
    <xf numFmtId="0" fontId="26" fillId="0" borderId="15" xfId="0" applyFont="1" applyBorder="1" applyAlignment="1">
      <alignment horizontal="left" vertical="center"/>
    </xf>
    <xf numFmtId="0" fontId="25" fillId="0" borderId="0" xfId="0" applyFont="1" applyBorder="1" applyAlignment="1">
      <alignment vertical="center"/>
    </xf>
    <xf numFmtId="0" fontId="24" fillId="0" borderId="0" xfId="0" applyFont="1" applyAlignment="1">
      <alignment vertical="center"/>
    </xf>
    <xf numFmtId="2" fontId="25" fillId="0" borderId="0" xfId="0" applyNumberFormat="1" applyFont="1" applyBorder="1" applyAlignment="1">
      <alignment vertical="center"/>
    </xf>
    <xf numFmtId="0" fontId="21" fillId="0" borderId="15" xfId="0" quotePrefix="1" applyFont="1" applyBorder="1" applyAlignment="1">
      <alignment vertical="center"/>
    </xf>
    <xf numFmtId="0" fontId="21" fillId="0" borderId="23" xfId="0" applyFont="1" applyBorder="1" applyAlignment="1">
      <alignment vertical="center"/>
    </xf>
    <xf numFmtId="0" fontId="26" fillId="0" borderId="0" xfId="0" applyFont="1" applyBorder="1" applyAlignment="1">
      <alignment horizontal="left" vertical="center"/>
    </xf>
    <xf numFmtId="0" fontId="21" fillId="0" borderId="14" xfId="0" applyFont="1" applyBorder="1" applyAlignment="1">
      <alignment vertical="center"/>
    </xf>
    <xf numFmtId="49" fontId="26" fillId="0" borderId="27" xfId="0" applyNumberFormat="1" applyFont="1" applyFill="1" applyBorder="1" applyAlignment="1">
      <alignment horizontal="center" vertical="center" wrapText="1"/>
    </xf>
    <xf numFmtId="49" fontId="26" fillId="3" borderId="25" xfId="0" applyNumberFormat="1" applyFont="1" applyFill="1" applyBorder="1" applyAlignment="1">
      <alignment vertical="center"/>
    </xf>
    <xf numFmtId="49" fontId="26" fillId="0" borderId="25" xfId="0" applyNumberFormat="1" applyFont="1" applyBorder="1" applyAlignment="1">
      <alignment vertical="center"/>
    </xf>
    <xf numFmtId="49" fontId="26" fillId="3" borderId="26" xfId="0" applyNumberFormat="1" applyFont="1" applyFill="1" applyBorder="1" applyAlignment="1">
      <alignment vertical="center"/>
    </xf>
    <xf numFmtId="0" fontId="21" fillId="0" borderId="23" xfId="0" applyFont="1" applyBorder="1" applyAlignment="1">
      <alignment horizontal="center" vertical="center"/>
    </xf>
    <xf numFmtId="0" fontId="21" fillId="0" borderId="0" xfId="0" applyFont="1" applyAlignment="1">
      <alignment horizontal="center" vertical="center" wrapText="1"/>
    </xf>
    <xf numFmtId="0" fontId="17" fillId="0" borderId="0" xfId="0" applyFont="1" applyAlignment="1">
      <alignment horizontal="left" vertical="center" wrapText="1" readingOrder="1"/>
    </xf>
    <xf numFmtId="0" fontId="17" fillId="0" borderId="0" xfId="0" applyFont="1" applyAlignment="1">
      <alignment horizontal="left" vertical="center" readingOrder="1"/>
    </xf>
    <xf numFmtId="0" fontId="22" fillId="20" borderId="30" xfId="0" applyFont="1" applyFill="1" applyBorder="1" applyAlignment="1">
      <alignment horizontal="centerContinuous" vertical="center"/>
    </xf>
    <xf numFmtId="0" fontId="22" fillId="20" borderId="31" xfId="0" applyFont="1" applyFill="1" applyBorder="1" applyAlignment="1">
      <alignment horizontal="centerContinuous" vertical="center"/>
    </xf>
    <xf numFmtId="0" fontId="22" fillId="20" borderId="32" xfId="0" applyFont="1" applyFill="1" applyBorder="1" applyAlignment="1">
      <alignment horizontal="centerContinuous" vertical="center"/>
    </xf>
    <xf numFmtId="49" fontId="26" fillId="3" borderId="0" xfId="0" applyNumberFormat="1" applyFont="1" applyFill="1" applyBorder="1" applyAlignment="1">
      <alignment vertical="center"/>
    </xf>
    <xf numFmtId="0" fontId="22" fillId="14" borderId="29" xfId="0" applyFont="1" applyFill="1" applyBorder="1" applyAlignment="1">
      <alignment horizontal="center" vertical="center" wrapText="1"/>
    </xf>
    <xf numFmtId="49" fontId="22" fillId="14" borderId="29"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22" xfId="0" applyFont="1" applyBorder="1" applyAlignment="1">
      <alignment horizontal="left" vertical="center"/>
    </xf>
    <xf numFmtId="0" fontId="21" fillId="0" borderId="22" xfId="0" quotePrefix="1" applyFont="1" applyBorder="1" applyAlignment="1">
      <alignment vertical="center"/>
    </xf>
    <xf numFmtId="0" fontId="26" fillId="0" borderId="0" xfId="0" applyFont="1" applyFill="1" applyBorder="1" applyAlignment="1">
      <alignment vertical="center"/>
    </xf>
    <xf numFmtId="0" fontId="25" fillId="0" borderId="0" xfId="0" applyFont="1" applyAlignment="1">
      <alignment vertical="center"/>
    </xf>
    <xf numFmtId="165" fontId="26" fillId="0" borderId="22" xfId="1" applyNumberFormat="1" applyFont="1" applyBorder="1" applyAlignment="1">
      <alignment vertical="center"/>
    </xf>
    <xf numFmtId="165" fontId="21" fillId="0" borderId="22" xfId="1" applyNumberFormat="1" applyFont="1" applyBorder="1" applyAlignment="1">
      <alignment vertical="center"/>
    </xf>
    <xf numFmtId="164" fontId="25" fillId="3" borderId="0" xfId="0" applyNumberFormat="1" applyFont="1" applyFill="1" applyBorder="1" applyAlignment="1">
      <alignment vertical="center"/>
    </xf>
    <xf numFmtId="164" fontId="25" fillId="0" borderId="1" xfId="0" applyNumberFormat="1" applyFont="1" applyBorder="1" applyAlignment="1">
      <alignment vertical="center"/>
    </xf>
    <xf numFmtId="164" fontId="25" fillId="3" borderId="1" xfId="0" applyNumberFormat="1" applyFont="1" applyFill="1" applyBorder="1" applyAlignment="1">
      <alignment vertical="center"/>
    </xf>
    <xf numFmtId="164" fontId="25" fillId="3" borderId="2" xfId="0" applyNumberFormat="1" applyFont="1" applyFill="1" applyBorder="1" applyAlignment="1">
      <alignment vertical="center"/>
    </xf>
    <xf numFmtId="0" fontId="21" fillId="0" borderId="27" xfId="0" applyFont="1" applyBorder="1" applyAlignment="1">
      <alignment horizontal="center" vertical="center"/>
    </xf>
    <xf numFmtId="49" fontId="25" fillId="3" borderId="0" xfId="0" applyNumberFormat="1" applyFont="1" applyFill="1" applyBorder="1" applyAlignment="1">
      <alignment horizontal="center" vertical="center"/>
    </xf>
    <xf numFmtId="49" fontId="25" fillId="0" borderId="25" xfId="0" applyNumberFormat="1" applyFont="1" applyBorder="1" applyAlignment="1">
      <alignment horizontal="center" vertical="center"/>
    </xf>
    <xf numFmtId="49" fontId="25" fillId="3" borderId="25" xfId="0" applyNumberFormat="1" applyFont="1" applyFill="1" applyBorder="1" applyAlignment="1">
      <alignment horizontal="center" vertical="center"/>
    </xf>
    <xf numFmtId="49" fontId="25" fillId="3" borderId="26" xfId="0" applyNumberFormat="1" applyFont="1" applyFill="1" applyBorder="1" applyAlignment="1">
      <alignment horizontal="center" vertical="center"/>
    </xf>
    <xf numFmtId="0" fontId="25" fillId="3" borderId="23" xfId="0" applyFont="1" applyFill="1" applyBorder="1" applyAlignment="1">
      <alignment horizontal="center" vertical="center"/>
    </xf>
    <xf numFmtId="0" fontId="25" fillId="0" borderId="27" xfId="0" applyFont="1" applyBorder="1" applyAlignment="1">
      <alignment horizontal="center" vertical="center"/>
    </xf>
    <xf numFmtId="0" fontId="25" fillId="3" borderId="27" xfId="0" applyFont="1" applyFill="1" applyBorder="1" applyAlignment="1">
      <alignment horizontal="center" vertical="center"/>
    </xf>
    <xf numFmtId="0" fontId="25" fillId="3" borderId="27" xfId="0" applyFont="1" applyFill="1" applyBorder="1" applyAlignment="1">
      <alignment vertical="center"/>
    </xf>
    <xf numFmtId="166" fontId="21" fillId="0" borderId="15" xfId="0" applyNumberFormat="1" applyFont="1" applyBorder="1" applyAlignment="1">
      <alignment vertical="center"/>
    </xf>
    <xf numFmtId="0" fontId="29" fillId="0" borderId="0" xfId="0" applyFont="1"/>
    <xf numFmtId="166" fontId="29" fillId="0" borderId="0" xfId="0" applyNumberFormat="1" applyFont="1" applyAlignment="1"/>
    <xf numFmtId="165" fontId="21" fillId="0" borderId="15" xfId="1" applyNumberFormat="1" applyFont="1" applyBorder="1" applyAlignment="1">
      <alignment vertical="center"/>
    </xf>
    <xf numFmtId="165" fontId="26" fillId="0" borderId="15" xfId="1" applyNumberFormat="1" applyFont="1" applyBorder="1" applyAlignment="1">
      <alignment vertical="center"/>
    </xf>
    <xf numFmtId="165" fontId="25" fillId="0" borderId="15" xfId="1" applyNumberFormat="1" applyFont="1" applyBorder="1" applyAlignment="1">
      <alignment vertical="center"/>
    </xf>
    <xf numFmtId="0" fontId="28" fillId="20" borderId="34" xfId="0" applyFont="1" applyFill="1" applyBorder="1" applyAlignment="1">
      <alignment horizontal="center" vertical="center"/>
    </xf>
    <xf numFmtId="0" fontId="29" fillId="0" borderId="27" xfId="0" applyFont="1" applyBorder="1" applyAlignment="1">
      <alignment horizontal="center"/>
    </xf>
    <xf numFmtId="166" fontId="29" fillId="0" borderId="27" xfId="0" applyNumberFormat="1" applyFont="1" applyBorder="1" applyAlignment="1"/>
    <xf numFmtId="164" fontId="21" fillId="0" borderId="27" xfId="0" applyNumberFormat="1" applyFont="1" applyFill="1" applyBorder="1" applyAlignment="1">
      <alignment vertical="center"/>
    </xf>
    <xf numFmtId="164" fontId="21" fillId="0" borderId="27" xfId="0" applyNumberFormat="1" applyFont="1" applyBorder="1" applyAlignment="1">
      <alignment vertical="center"/>
    </xf>
    <xf numFmtId="0" fontId="29" fillId="0" borderId="27" xfId="0" applyFont="1" applyBorder="1"/>
    <xf numFmtId="0" fontId="16" fillId="13" borderId="30" xfId="0" applyFont="1" applyFill="1" applyBorder="1" applyAlignment="1">
      <alignment horizontal="centerContinuous" vertical="center" wrapText="1"/>
    </xf>
    <xf numFmtId="0" fontId="16" fillId="13" borderId="31" xfId="0" applyFont="1" applyFill="1" applyBorder="1" applyAlignment="1">
      <alignment horizontal="centerContinuous" vertical="center" wrapText="1"/>
    </xf>
    <xf numFmtId="0" fontId="28" fillId="20" borderId="29" xfId="0" applyFont="1" applyFill="1" applyBorder="1" applyAlignment="1">
      <alignment horizontal="center" vertical="center" wrapText="1"/>
    </xf>
    <xf numFmtId="0" fontId="28" fillId="20" borderId="27" xfId="0" applyFont="1" applyFill="1" applyBorder="1" applyAlignment="1">
      <alignment horizontal="center" vertical="center" wrapText="1"/>
    </xf>
    <xf numFmtId="165" fontId="0" fillId="0" borderId="0" xfId="1" applyNumberFormat="1" applyFont="1" applyBorder="1" applyAlignment="1">
      <alignment horizontal="center"/>
    </xf>
    <xf numFmtId="0" fontId="28" fillId="20" borderId="31" xfId="0" applyFont="1" applyFill="1" applyBorder="1" applyAlignment="1">
      <alignment horizontal="centerContinuous"/>
    </xf>
    <xf numFmtId="0" fontId="28" fillId="20" borderId="30" xfId="0" applyFont="1" applyFill="1" applyBorder="1" applyAlignment="1">
      <alignment horizontal="centerContinuous" vertical="center"/>
    </xf>
    <xf numFmtId="0" fontId="18" fillId="20" borderId="31" xfId="0" applyFont="1" applyFill="1" applyBorder="1" applyAlignment="1">
      <alignment horizontal="centerContinuous" vertical="center"/>
    </xf>
    <xf numFmtId="0" fontId="18" fillId="20" borderId="35" xfId="0" applyFont="1" applyFill="1" applyBorder="1" applyAlignment="1">
      <alignment horizontal="centerContinuous" vertical="center"/>
    </xf>
    <xf numFmtId="0" fontId="18" fillId="20" borderId="36" xfId="0" applyFont="1" applyFill="1" applyBorder="1" applyAlignment="1">
      <alignment horizontal="centerContinuous" vertical="center"/>
    </xf>
    <xf numFmtId="44" fontId="0" fillId="0" borderId="22" xfId="1" applyFont="1" applyBorder="1"/>
    <xf numFmtId="9" fontId="29" fillId="0" borderId="23" xfId="0" applyNumberFormat="1" applyFont="1" applyBorder="1" applyAlignment="1">
      <alignment horizontal="center"/>
    </xf>
    <xf numFmtId="165" fontId="0" fillId="0" borderId="22" xfId="1" applyNumberFormat="1" applyFont="1" applyBorder="1"/>
    <xf numFmtId="9" fontId="29" fillId="0" borderId="14" xfId="0" applyNumberFormat="1" applyFont="1" applyBorder="1" applyAlignment="1">
      <alignment horizontal="center"/>
    </xf>
    <xf numFmtId="0" fontId="28" fillId="20" borderId="34" xfId="0" applyFont="1" applyFill="1" applyBorder="1" applyAlignment="1">
      <alignment horizontal="center" vertical="center" wrapText="1"/>
    </xf>
    <xf numFmtId="0" fontId="29" fillId="0" borderId="22" xfId="0" applyFont="1" applyBorder="1"/>
    <xf numFmtId="166" fontId="29" fillId="0" borderId="22" xfId="0" applyNumberFormat="1" applyFont="1" applyBorder="1" applyAlignment="1"/>
    <xf numFmtId="0" fontId="29" fillId="0" borderId="22" xfId="0" applyFont="1" applyBorder="1" applyAlignment="1">
      <alignment horizontal="center"/>
    </xf>
    <xf numFmtId="0" fontId="29" fillId="0" borderId="15" xfId="0" applyFont="1" applyBorder="1"/>
    <xf numFmtId="166" fontId="29" fillId="0" borderId="15" xfId="1" applyNumberFormat="1" applyFont="1" applyBorder="1" applyAlignment="1"/>
    <xf numFmtId="0" fontId="29" fillId="0" borderId="15" xfId="0" applyFont="1" applyBorder="1" applyAlignment="1">
      <alignment horizontal="center"/>
    </xf>
    <xf numFmtId="166" fontId="29" fillId="0" borderId="15" xfId="0" applyNumberFormat="1" applyFont="1" applyBorder="1" applyAlignment="1"/>
    <xf numFmtId="0" fontId="29" fillId="0" borderId="23" xfId="0" applyFont="1" applyBorder="1"/>
    <xf numFmtId="166" fontId="29" fillId="0" borderId="23" xfId="0" applyNumberFormat="1" applyFont="1" applyBorder="1" applyAlignment="1"/>
    <xf numFmtId="0" fontId="29" fillId="0" borderId="23" xfId="0" applyFont="1" applyBorder="1" applyAlignment="1">
      <alignment horizontal="center"/>
    </xf>
    <xf numFmtId="164" fontId="21" fillId="0" borderId="0" xfId="0" applyNumberFormat="1" applyFont="1" applyAlignment="1">
      <alignment vertical="center"/>
    </xf>
    <xf numFmtId="0" fontId="21" fillId="0" borderId="15" xfId="0" applyFont="1" applyBorder="1" applyAlignment="1">
      <alignment horizontal="right" vertical="center"/>
    </xf>
    <xf numFmtId="0" fontId="24" fillId="0" borderId="23" xfId="0" applyFont="1" applyBorder="1" applyAlignment="1">
      <alignment horizontal="right" vertical="center"/>
    </xf>
    <xf numFmtId="165" fontId="24" fillId="0" borderId="23" xfId="1" applyNumberFormat="1" applyFont="1" applyBorder="1" applyAlignment="1">
      <alignment vertical="center"/>
    </xf>
    <xf numFmtId="0" fontId="21" fillId="0" borderId="23" xfId="0" applyFont="1" applyBorder="1" applyAlignment="1">
      <alignment horizontal="right" vertical="center"/>
    </xf>
    <xf numFmtId="165" fontId="21" fillId="0" borderId="23" xfId="1" applyNumberFormat="1" applyFont="1" applyBorder="1" applyAlignment="1">
      <alignment vertical="center"/>
    </xf>
    <xf numFmtId="165" fontId="26" fillId="0" borderId="23" xfId="1" applyNumberFormat="1" applyFont="1" applyBorder="1" applyAlignment="1">
      <alignment vertical="center"/>
    </xf>
    <xf numFmtId="0" fontId="23" fillId="0" borderId="22" xfId="0" applyFont="1" applyBorder="1" applyAlignment="1">
      <alignment vertical="center"/>
    </xf>
    <xf numFmtId="166" fontId="27" fillId="0" borderId="14" xfId="0" applyNumberFormat="1" applyFont="1" applyBorder="1" applyAlignment="1">
      <alignment vertical="center"/>
    </xf>
    <xf numFmtId="0" fontId="21" fillId="0" borderId="23" xfId="0" quotePrefix="1" applyFont="1" applyBorder="1" applyAlignment="1">
      <alignment vertical="center"/>
    </xf>
    <xf numFmtId="0" fontId="21" fillId="0" borderId="23" xfId="0" applyFont="1" applyBorder="1" applyAlignment="1">
      <alignment horizontal="left" vertical="center" indent="1"/>
    </xf>
    <xf numFmtId="0" fontId="23" fillId="0" borderId="15" xfId="0" applyFont="1" applyBorder="1" applyAlignment="1">
      <alignment horizontal="left" vertical="center" indent="1"/>
    </xf>
    <xf numFmtId="0" fontId="26" fillId="0" borderId="15" xfId="0" applyFont="1" applyBorder="1" applyAlignment="1">
      <alignment horizontal="left" vertical="center" indent="2"/>
    </xf>
    <xf numFmtId="0" fontId="26" fillId="0" borderId="23" xfId="0" applyFont="1" applyBorder="1" applyAlignment="1">
      <alignment horizontal="left" vertical="center" indent="2"/>
    </xf>
    <xf numFmtId="0" fontId="26" fillId="0" borderId="23" xfId="0" applyFont="1" applyBorder="1" applyAlignment="1">
      <alignment horizontal="left" vertical="center" indent="1"/>
    </xf>
    <xf numFmtId="0" fontId="23" fillId="0" borderId="38" xfId="0" applyFont="1" applyBorder="1" applyAlignment="1">
      <alignment horizontal="left" vertical="center"/>
    </xf>
    <xf numFmtId="0" fontId="27" fillId="0" borderId="24" xfId="0" applyFont="1" applyBorder="1" applyAlignment="1">
      <alignment vertical="center"/>
    </xf>
    <xf numFmtId="0" fontId="21" fillId="0" borderId="39" xfId="0" applyFont="1" applyBorder="1" applyAlignment="1">
      <alignment vertical="center"/>
    </xf>
    <xf numFmtId="0" fontId="26" fillId="0" borderId="13" xfId="0" applyFont="1" applyBorder="1" applyAlignment="1">
      <alignment horizontal="left" vertical="center" indent="1"/>
    </xf>
    <xf numFmtId="0" fontId="21" fillId="0" borderId="37" xfId="0" applyFont="1" applyBorder="1" applyAlignment="1">
      <alignment vertical="center"/>
    </xf>
    <xf numFmtId="0" fontId="21" fillId="0" borderId="15" xfId="0" applyFont="1" applyBorder="1" applyAlignment="1">
      <alignment horizontal="left" vertical="center" indent="2"/>
    </xf>
    <xf numFmtId="0" fontId="21" fillId="0" borderId="23" xfId="0" applyFont="1" applyBorder="1" applyAlignment="1">
      <alignment horizontal="left" vertical="center" indent="2"/>
    </xf>
    <xf numFmtId="0" fontId="21" fillId="0" borderId="15" xfId="0" applyFont="1" applyBorder="1" applyAlignment="1">
      <alignment horizontal="center" vertical="center"/>
    </xf>
    <xf numFmtId="165" fontId="26" fillId="3" borderId="0" xfId="1" applyNumberFormat="1" applyFont="1" applyFill="1" applyBorder="1" applyAlignment="1">
      <alignment horizontal="center" vertical="center"/>
    </xf>
    <xf numFmtId="165" fontId="26" fillId="0" borderId="25" xfId="1" applyNumberFormat="1" applyFont="1" applyBorder="1" applyAlignment="1">
      <alignment horizontal="center" vertical="center"/>
    </xf>
    <xf numFmtId="165" fontId="26" fillId="3" borderId="25" xfId="1" applyNumberFormat="1" applyFont="1" applyFill="1" applyBorder="1" applyAlignment="1">
      <alignment horizontal="center" vertical="center"/>
    </xf>
    <xf numFmtId="165" fontId="26" fillId="3" borderId="26" xfId="1" applyNumberFormat="1" applyFont="1" applyFill="1" applyBorder="1" applyAlignment="1">
      <alignment horizontal="center" vertical="center"/>
    </xf>
    <xf numFmtId="0" fontId="23" fillId="0" borderId="28" xfId="0" applyFont="1" applyBorder="1" applyAlignment="1">
      <alignment vertical="center"/>
    </xf>
    <xf numFmtId="0" fontId="27" fillId="0" borderId="23" xfId="0" applyFont="1" applyBorder="1" applyAlignment="1">
      <alignment vertical="center"/>
    </xf>
    <xf numFmtId="0" fontId="26" fillId="0" borderId="28" xfId="0" applyFont="1" applyBorder="1" applyAlignment="1">
      <alignment vertical="center"/>
    </xf>
    <xf numFmtId="10" fontId="26" fillId="0" borderId="15" xfId="0" applyNumberFormat="1" applyFont="1" applyBorder="1" applyAlignment="1">
      <alignment vertical="center"/>
    </xf>
    <xf numFmtId="10" fontId="25" fillId="0" borderId="15" xfId="2" applyNumberFormat="1" applyFont="1" applyBorder="1" applyAlignment="1">
      <alignment vertical="center"/>
    </xf>
    <xf numFmtId="10" fontId="25" fillId="0" borderId="15" xfId="0" applyNumberFormat="1" applyFont="1" applyBorder="1" applyAlignment="1">
      <alignment vertical="center"/>
    </xf>
    <xf numFmtId="168" fontId="26" fillId="0" borderId="15" xfId="0" applyNumberFormat="1" applyFont="1" applyBorder="1" applyAlignment="1">
      <alignment vertical="center"/>
    </xf>
    <xf numFmtId="10" fontId="26" fillId="0" borderId="23" xfId="0" applyNumberFormat="1" applyFont="1" applyBorder="1" applyAlignment="1">
      <alignment vertical="center"/>
    </xf>
    <xf numFmtId="0" fontId="17" fillId="0" borderId="15" xfId="0" applyFont="1" applyBorder="1" applyAlignment="1">
      <alignment horizontal="left" vertical="center" wrapText="1" indent="1" readingOrder="1"/>
    </xf>
    <xf numFmtId="0" fontId="17" fillId="0" borderId="15" xfId="0" applyFont="1" applyBorder="1" applyAlignment="1">
      <alignment horizontal="left" vertical="center" wrapText="1" readingOrder="1"/>
    </xf>
    <xf numFmtId="10" fontId="0" fillId="0" borderId="15" xfId="2" applyNumberFormat="1" applyFont="1" applyBorder="1"/>
    <xf numFmtId="0" fontId="17" fillId="0" borderId="23" xfId="0" applyFont="1" applyBorder="1" applyAlignment="1">
      <alignment horizontal="left" vertical="center" wrapText="1" indent="1" readingOrder="1"/>
    </xf>
    <xf numFmtId="10" fontId="0" fillId="0" borderId="23" xfId="2" applyNumberFormat="1" applyFont="1" applyBorder="1"/>
    <xf numFmtId="0" fontId="17" fillId="0" borderId="23" xfId="0" applyFont="1" applyBorder="1" applyAlignment="1">
      <alignment horizontal="left" vertical="center" wrapText="1" readingOrder="1"/>
    </xf>
    <xf numFmtId="0" fontId="10" fillId="12" borderId="0" xfId="0" applyFont="1" applyFill="1" applyBorder="1" applyAlignment="1">
      <alignment horizontal="centerContinuous"/>
    </xf>
    <xf numFmtId="0" fontId="10" fillId="15" borderId="0" xfId="0" applyFont="1" applyFill="1" applyBorder="1" applyAlignment="1">
      <alignment horizontal="centerContinuous"/>
    </xf>
    <xf numFmtId="0" fontId="17" fillId="0" borderId="15" xfId="0" applyFont="1" applyBorder="1" applyAlignment="1">
      <alignment vertical="center" readingOrder="1"/>
    </xf>
    <xf numFmtId="165" fontId="0" fillId="0" borderId="15" xfId="1" applyNumberFormat="1" applyFont="1" applyFill="1" applyBorder="1"/>
    <xf numFmtId="0" fontId="17" fillId="0" borderId="23" xfId="0" applyFont="1" applyBorder="1" applyAlignment="1">
      <alignment horizontal="left" vertical="center" readingOrder="1"/>
    </xf>
    <xf numFmtId="165" fontId="3" fillId="0" borderId="23" xfId="1" applyNumberFormat="1" applyFont="1" applyFill="1" applyBorder="1"/>
    <xf numFmtId="0" fontId="17" fillId="0" borderId="28" xfId="0" applyFont="1" applyBorder="1" applyAlignment="1">
      <alignment horizontal="left" vertical="center" indent="1" readingOrder="1"/>
    </xf>
    <xf numFmtId="165" fontId="0" fillId="0" borderId="28" xfId="1" applyNumberFormat="1" applyFont="1" applyBorder="1"/>
    <xf numFmtId="0" fontId="17" fillId="0" borderId="28" xfId="0" applyFont="1" applyBorder="1" applyAlignment="1">
      <alignment horizontal="left" vertical="center" readingOrder="1"/>
    </xf>
    <xf numFmtId="0" fontId="17" fillId="0" borderId="15" xfId="0" applyFont="1" applyBorder="1" applyAlignment="1">
      <alignment horizontal="left" vertical="center" readingOrder="1"/>
    </xf>
    <xf numFmtId="165" fontId="3" fillId="0" borderId="23" xfId="0" applyNumberFormat="1" applyFont="1" applyBorder="1"/>
    <xf numFmtId="165" fontId="17" fillId="0" borderId="15" xfId="1" applyNumberFormat="1" applyFont="1" applyBorder="1" applyAlignment="1">
      <alignment horizontal="left" vertical="center" wrapText="1" readingOrder="1"/>
    </xf>
    <xf numFmtId="165" fontId="31" fillId="0" borderId="23" xfId="1" applyNumberFormat="1" applyFont="1" applyBorder="1" applyAlignment="1">
      <alignment horizontal="left" vertical="center" wrapText="1" readingOrder="1"/>
    </xf>
    <xf numFmtId="0" fontId="31" fillId="0" borderId="23" xfId="0" applyFont="1" applyBorder="1" applyAlignment="1">
      <alignment horizontal="right" vertical="center" readingOrder="1"/>
    </xf>
    <xf numFmtId="0" fontId="0" fillId="0" borderId="0" xfId="0" applyFont="1" applyAlignment="1">
      <alignment horizontal="right"/>
    </xf>
    <xf numFmtId="165" fontId="0" fillId="0" borderId="0" xfId="0" applyNumberFormat="1" applyFont="1"/>
    <xf numFmtId="0" fontId="30" fillId="0" borderId="0" xfId="0" applyFont="1" applyFill="1" applyProtection="1"/>
    <xf numFmtId="0" fontId="16" fillId="23" borderId="0" xfId="0" applyFont="1" applyFill="1" applyBorder="1" applyAlignment="1">
      <alignment horizontal="centerContinuous"/>
    </xf>
    <xf numFmtId="0" fontId="10" fillId="23" borderId="0" xfId="0" applyFont="1" applyFill="1" applyBorder="1" applyAlignment="1">
      <alignment horizontal="centerContinuous"/>
    </xf>
    <xf numFmtId="165" fontId="0" fillId="0" borderId="15" xfId="1" applyNumberFormat="1" applyFont="1" applyBorder="1"/>
    <xf numFmtId="0" fontId="21" fillId="0" borderId="40" xfId="0" applyFont="1" applyBorder="1" applyAlignment="1">
      <alignment horizontal="centerContinuous" vertical="center"/>
    </xf>
    <xf numFmtId="0" fontId="21" fillId="0" borderId="42" xfId="0" applyFont="1" applyBorder="1" applyAlignment="1">
      <alignment horizontal="centerContinuous" vertical="center"/>
    </xf>
    <xf numFmtId="0" fontId="21" fillId="0" borderId="22" xfId="0" applyFont="1" applyBorder="1" applyAlignment="1">
      <alignment horizontal="center" vertical="center"/>
    </xf>
    <xf numFmtId="171" fontId="21" fillId="0" borderId="23" xfId="0" applyNumberFormat="1" applyFont="1" applyBorder="1" applyAlignment="1">
      <alignment horizontal="center" vertical="center"/>
    </xf>
    <xf numFmtId="173" fontId="21" fillId="0" borderId="23" xfId="0" applyNumberFormat="1" applyFont="1" applyBorder="1" applyAlignment="1">
      <alignment vertical="center"/>
    </xf>
    <xf numFmtId="2" fontId="21" fillId="0" borderId="22" xfId="0" applyNumberFormat="1" applyFont="1" applyBorder="1" applyAlignment="1">
      <alignment vertical="center"/>
    </xf>
    <xf numFmtId="2" fontId="21" fillId="0" borderId="15" xfId="0" applyNumberFormat="1" applyFont="1" applyBorder="1" applyAlignment="1">
      <alignment vertical="center"/>
    </xf>
    <xf numFmtId="164" fontId="21" fillId="0" borderId="0" xfId="0" applyNumberFormat="1" applyFont="1" applyFill="1" applyAlignment="1">
      <alignment vertical="center"/>
    </xf>
    <xf numFmtId="0" fontId="0" fillId="20" borderId="0" xfId="0" applyFont="1" applyFill="1"/>
    <xf numFmtId="0" fontId="0" fillId="20" borderId="0" xfId="0" applyFont="1" applyFill="1" applyAlignment="1"/>
    <xf numFmtId="0" fontId="0" fillId="11" borderId="0" xfId="0" applyFont="1" applyFill="1" applyAlignment="1">
      <alignment vertical="top" wrapText="1"/>
    </xf>
    <xf numFmtId="0" fontId="0" fillId="0" borderId="0" xfId="0" applyFont="1" applyAlignment="1">
      <alignment horizontal="center"/>
    </xf>
    <xf numFmtId="0" fontId="32" fillId="0" borderId="0" xfId="0" applyFont="1" applyAlignment="1">
      <alignment horizontal="right" wrapText="1"/>
    </xf>
    <xf numFmtId="0" fontId="33" fillId="0" borderId="0" xfId="0" applyFont="1" applyProtection="1"/>
    <xf numFmtId="0" fontId="0" fillId="0" borderId="0" xfId="0" applyFont="1" applyFill="1"/>
    <xf numFmtId="0" fontId="0" fillId="0" borderId="0" xfId="0" applyFont="1" applyAlignment="1">
      <alignment vertical="center"/>
    </xf>
    <xf numFmtId="0" fontId="0" fillId="0" borderId="0" xfId="0" applyFont="1" applyAlignment="1">
      <alignment wrapText="1"/>
    </xf>
    <xf numFmtId="0" fontId="28" fillId="20" borderId="50" xfId="0" applyFont="1" applyFill="1" applyBorder="1" applyAlignment="1">
      <alignment horizontal="centerContinuous"/>
    </xf>
    <xf numFmtId="0" fontId="28" fillId="20" borderId="51" xfId="0" applyFont="1" applyFill="1" applyBorder="1" applyAlignment="1">
      <alignment horizontal="centerContinuous"/>
    </xf>
    <xf numFmtId="0" fontId="28" fillId="20" borderId="53" xfId="0" applyFont="1" applyFill="1" applyBorder="1" applyAlignment="1">
      <alignment horizontal="centerContinuous"/>
    </xf>
    <xf numFmtId="165" fontId="0" fillId="0" borderId="0" xfId="1" applyNumberFormat="1" applyFont="1" applyBorder="1"/>
    <xf numFmtId="0" fontId="28" fillId="20" borderId="57" xfId="0" applyFont="1" applyFill="1" applyBorder="1" applyAlignment="1">
      <alignment horizontal="centerContinuous" vertical="center"/>
    </xf>
    <xf numFmtId="0" fontId="18" fillId="20" borderId="54" xfId="0" applyFont="1" applyFill="1" applyBorder="1" applyAlignment="1">
      <alignment horizontal="centerContinuous" vertical="center"/>
    </xf>
    <xf numFmtId="0" fontId="3" fillId="0" borderId="58" xfId="0" applyFont="1" applyBorder="1"/>
    <xf numFmtId="0" fontId="3" fillId="0" borderId="47" xfId="0" applyFont="1" applyBorder="1"/>
    <xf numFmtId="9" fontId="29" fillId="0" borderId="63" xfId="0" applyNumberFormat="1" applyFont="1" applyBorder="1" applyAlignment="1">
      <alignment horizontal="center"/>
    </xf>
    <xf numFmtId="9" fontId="29" fillId="0" borderId="65" xfId="0" applyNumberFormat="1" applyFont="1" applyBorder="1" applyAlignment="1">
      <alignment horizontal="center"/>
    </xf>
    <xf numFmtId="0" fontId="3" fillId="0" borderId="66" xfId="0" applyFont="1" applyBorder="1" applyAlignment="1">
      <alignment horizontal="left" indent="1"/>
    </xf>
    <xf numFmtId="0" fontId="3" fillId="0" borderId="69" xfId="0" applyFont="1" applyBorder="1" applyAlignment="1">
      <alignment horizontal="left" indent="1"/>
    </xf>
    <xf numFmtId="44" fontId="0" fillId="0" borderId="0" xfId="1" applyFont="1" applyAlignment="1">
      <alignment vertical="top"/>
    </xf>
    <xf numFmtId="165" fontId="0" fillId="8" borderId="22" xfId="2" applyNumberFormat="1" applyFont="1" applyFill="1" applyBorder="1" applyAlignment="1">
      <alignment vertical="top"/>
    </xf>
    <xf numFmtId="165" fontId="0" fillId="8" borderId="43" xfId="1" applyNumberFormat="1" applyFont="1" applyFill="1" applyBorder="1" applyAlignment="1">
      <alignment vertical="top"/>
    </xf>
    <xf numFmtId="165" fontId="0" fillId="8" borderId="22" xfId="1" applyNumberFormat="1" applyFont="1" applyFill="1" applyBorder="1" applyAlignment="1">
      <alignment vertical="top"/>
    </xf>
    <xf numFmtId="165" fontId="0" fillId="8" borderId="61" xfId="1" applyNumberFormat="1" applyFont="1" applyFill="1" applyBorder="1" applyAlignment="1">
      <alignment vertical="top"/>
    </xf>
    <xf numFmtId="165" fontId="0" fillId="8" borderId="15" xfId="2" applyNumberFormat="1" applyFont="1" applyFill="1" applyBorder="1" applyAlignment="1">
      <alignment vertical="top"/>
    </xf>
    <xf numFmtId="165" fontId="0" fillId="8" borderId="44" xfId="1" applyNumberFormat="1" applyFont="1" applyFill="1" applyBorder="1" applyAlignment="1">
      <alignment vertical="top"/>
    </xf>
    <xf numFmtId="165" fontId="0" fillId="8" borderId="15" xfId="1" applyNumberFormat="1" applyFont="1" applyFill="1" applyBorder="1" applyAlignment="1">
      <alignment vertical="top"/>
    </xf>
    <xf numFmtId="165" fontId="0" fillId="8" borderId="80" xfId="1" applyNumberFormat="1" applyFont="1" applyFill="1" applyBorder="1" applyAlignment="1">
      <alignment vertical="top"/>
    </xf>
    <xf numFmtId="165" fontId="0" fillId="8" borderId="72" xfId="2" applyNumberFormat="1" applyFont="1" applyFill="1" applyBorder="1" applyAlignment="1">
      <alignment vertical="top"/>
    </xf>
    <xf numFmtId="165" fontId="0" fillId="8" borderId="82" xfId="1" applyNumberFormat="1" applyFont="1" applyFill="1" applyBorder="1" applyAlignment="1">
      <alignment vertical="top"/>
    </xf>
    <xf numFmtId="165" fontId="0" fillId="8" borderId="72" xfId="1" applyNumberFormat="1" applyFont="1" applyFill="1" applyBorder="1" applyAlignment="1">
      <alignment vertical="top"/>
    </xf>
    <xf numFmtId="165" fontId="0" fillId="8" borderId="73" xfId="1" applyNumberFormat="1" applyFont="1" applyFill="1" applyBorder="1" applyAlignment="1">
      <alignment vertical="top"/>
    </xf>
    <xf numFmtId="43" fontId="0" fillId="6" borderId="22" xfId="3" applyFont="1" applyFill="1" applyBorder="1" applyAlignment="1">
      <alignment vertical="top"/>
    </xf>
    <xf numFmtId="43" fontId="0" fillId="6" borderId="15" xfId="3" applyFont="1" applyFill="1" applyBorder="1" applyAlignment="1">
      <alignment vertical="top"/>
    </xf>
    <xf numFmtId="43" fontId="0" fillId="6" borderId="93" xfId="3" applyFont="1" applyFill="1" applyBorder="1" applyAlignment="1">
      <alignment vertical="top"/>
    </xf>
    <xf numFmtId="165" fontId="0" fillId="6" borderId="94" xfId="2" applyNumberFormat="1" applyFont="1" applyFill="1" applyBorder="1" applyAlignment="1">
      <alignment vertical="top"/>
    </xf>
    <xf numFmtId="43" fontId="0" fillId="6" borderId="91" xfId="3" applyFont="1" applyFill="1" applyBorder="1" applyAlignment="1">
      <alignment vertical="top"/>
    </xf>
    <xf numFmtId="165" fontId="0" fillId="6" borderId="92" xfId="2" applyNumberFormat="1" applyFont="1" applyFill="1" applyBorder="1" applyAlignment="1">
      <alignment vertical="top"/>
    </xf>
    <xf numFmtId="43" fontId="0" fillId="6" borderId="95" xfId="3" applyFont="1" applyFill="1" applyBorder="1" applyAlignment="1">
      <alignment vertical="top"/>
    </xf>
    <xf numFmtId="43" fontId="0" fillId="6" borderId="96" xfId="3" applyFont="1" applyFill="1" applyBorder="1" applyAlignment="1">
      <alignment vertical="top"/>
    </xf>
    <xf numFmtId="165" fontId="0" fillId="6" borderId="97" xfId="2" applyNumberFormat="1" applyFont="1" applyFill="1" applyBorder="1" applyAlignment="1">
      <alignment vertical="top"/>
    </xf>
    <xf numFmtId="165" fontId="0" fillId="8" borderId="60" xfId="2" applyNumberFormat="1" applyFont="1" applyFill="1" applyBorder="1" applyAlignment="1">
      <alignment vertical="top"/>
    </xf>
    <xf numFmtId="165" fontId="0" fillId="8" borderId="98" xfId="2" applyNumberFormat="1" applyFont="1" applyFill="1" applyBorder="1" applyAlignment="1">
      <alignment vertical="top"/>
    </xf>
    <xf numFmtId="165" fontId="0" fillId="8" borderId="71" xfId="2" applyNumberFormat="1" applyFont="1" applyFill="1" applyBorder="1" applyAlignment="1">
      <alignment vertical="top"/>
    </xf>
    <xf numFmtId="43" fontId="0" fillId="8" borderId="45" xfId="3" applyFont="1" applyFill="1" applyBorder="1" applyAlignment="1">
      <alignment vertical="top"/>
    </xf>
    <xf numFmtId="43" fontId="0" fillId="8" borderId="46" xfId="3" applyFont="1" applyFill="1" applyBorder="1" applyAlignment="1">
      <alignment vertical="top"/>
    </xf>
    <xf numFmtId="43" fontId="0" fillId="8" borderId="99" xfId="3" applyFont="1" applyFill="1" applyBorder="1" applyAlignment="1">
      <alignment vertical="top"/>
    </xf>
    <xf numFmtId="0" fontId="3" fillId="0" borderId="0" xfId="0" applyFont="1" applyAlignment="1">
      <alignment horizontal="right" vertical="top"/>
    </xf>
    <xf numFmtId="10" fontId="3" fillId="0" borderId="0" xfId="2" applyNumberFormat="1" applyFont="1" applyAlignment="1">
      <alignment vertical="top"/>
    </xf>
    <xf numFmtId="2" fontId="3" fillId="0" borderId="0" xfId="0" applyNumberFormat="1" applyFont="1" applyAlignment="1">
      <alignment vertical="top"/>
    </xf>
    <xf numFmtId="165" fontId="3" fillId="0" borderId="0" xfId="1" applyNumberFormat="1" applyFont="1" applyAlignment="1">
      <alignment vertical="top"/>
    </xf>
    <xf numFmtId="0" fontId="3" fillId="0" borderId="0" xfId="0" applyFont="1" applyAlignment="1">
      <alignment vertical="top"/>
    </xf>
    <xf numFmtId="170" fontId="3" fillId="0" borderId="0" xfId="0" applyNumberFormat="1" applyFont="1" applyAlignment="1">
      <alignment vertical="top"/>
    </xf>
    <xf numFmtId="10" fontId="0" fillId="24" borderId="22" xfId="2" applyNumberFormat="1" applyFont="1" applyFill="1" applyBorder="1" applyAlignment="1">
      <alignment vertical="top"/>
    </xf>
    <xf numFmtId="10" fontId="0" fillId="24" borderId="15" xfId="2" applyNumberFormat="1" applyFont="1" applyFill="1" applyBorder="1" applyAlignment="1">
      <alignment vertical="top"/>
    </xf>
    <xf numFmtId="10" fontId="0" fillId="24" borderId="23" xfId="2" applyNumberFormat="1" applyFont="1" applyFill="1" applyBorder="1" applyAlignment="1">
      <alignment vertical="top"/>
    </xf>
    <xf numFmtId="165" fontId="0" fillId="0" borderId="15" xfId="1" applyNumberFormat="1" applyFont="1" applyBorder="1" applyAlignment="1">
      <alignment vertical="center"/>
    </xf>
    <xf numFmtId="0" fontId="30" fillId="0" borderId="23" xfId="0" applyFont="1" applyFill="1" applyBorder="1" applyAlignment="1">
      <alignment horizontal="right" wrapText="1"/>
    </xf>
    <xf numFmtId="165" fontId="3" fillId="0" borderId="23" xfId="0" applyNumberFormat="1" applyFont="1" applyFill="1" applyBorder="1"/>
    <xf numFmtId="0" fontId="15" fillId="0" borderId="23" xfId="0" applyFont="1" applyFill="1" applyBorder="1" applyAlignment="1">
      <alignment wrapText="1"/>
    </xf>
    <xf numFmtId="0" fontId="17" fillId="0" borderId="15" xfId="0" applyFont="1" applyBorder="1" applyAlignment="1">
      <alignment horizontal="left" vertical="center" indent="2" readingOrder="1"/>
    </xf>
    <xf numFmtId="0" fontId="17" fillId="10" borderId="41" xfId="0" applyFont="1" applyFill="1" applyBorder="1" applyAlignment="1">
      <alignment horizontal="left" vertical="center" readingOrder="1"/>
    </xf>
    <xf numFmtId="0" fontId="17" fillId="10" borderId="42" xfId="0" applyFont="1" applyFill="1" applyBorder="1" applyAlignment="1">
      <alignment horizontal="left" vertical="center" readingOrder="1"/>
    </xf>
    <xf numFmtId="0" fontId="10" fillId="13" borderId="0" xfId="0" applyFont="1" applyFill="1" applyBorder="1" applyAlignment="1">
      <alignment horizontal="centerContinuous"/>
    </xf>
    <xf numFmtId="0" fontId="3" fillId="0" borderId="23" xfId="0" applyFont="1" applyBorder="1" applyAlignment="1">
      <alignment horizontal="right"/>
    </xf>
    <xf numFmtId="0" fontId="17" fillId="8" borderId="40" xfId="0" applyFont="1" applyFill="1" applyBorder="1" applyAlignment="1">
      <alignment horizontal="left" vertical="center" wrapText="1" readingOrder="1"/>
    </xf>
    <xf numFmtId="0" fontId="17" fillId="8" borderId="41" xfId="0" applyFont="1" applyFill="1" applyBorder="1" applyAlignment="1">
      <alignment horizontal="left" vertical="center" wrapText="1" readingOrder="1"/>
    </xf>
    <xf numFmtId="0" fontId="17" fillId="8" borderId="42" xfId="0" applyFont="1" applyFill="1" applyBorder="1" applyAlignment="1">
      <alignment horizontal="left" vertical="center" wrapText="1" readingOrder="1"/>
    </xf>
    <xf numFmtId="0" fontId="17" fillId="8" borderId="69" xfId="0" applyFont="1" applyFill="1" applyBorder="1" applyAlignment="1">
      <alignment horizontal="left" vertical="center" wrapText="1" readingOrder="1"/>
    </xf>
    <xf numFmtId="0" fontId="17" fillId="8" borderId="67" xfId="0" applyFont="1" applyFill="1" applyBorder="1" applyAlignment="1">
      <alignment horizontal="left" vertical="center" wrapText="1" readingOrder="1"/>
    </xf>
    <xf numFmtId="0" fontId="17" fillId="8" borderId="68" xfId="0" applyFont="1" applyFill="1" applyBorder="1" applyAlignment="1">
      <alignment horizontal="left" vertical="center" wrapText="1" readingOrder="1"/>
    </xf>
    <xf numFmtId="0" fontId="17" fillId="0" borderId="22" xfId="0" applyFont="1" applyFill="1" applyBorder="1" applyAlignment="1">
      <alignment horizontal="left" vertical="center" wrapText="1" indent="1" readingOrder="1"/>
    </xf>
    <xf numFmtId="43" fontId="17" fillId="0" borderId="22" xfId="3" applyFont="1" applyBorder="1" applyAlignment="1">
      <alignment horizontal="left" vertical="center" wrapText="1" readingOrder="1"/>
    </xf>
    <xf numFmtId="0" fontId="17" fillId="0" borderId="22" xfId="0" applyFont="1" applyBorder="1" applyAlignment="1">
      <alignment horizontal="left" vertical="center" wrapText="1" readingOrder="1"/>
    </xf>
    <xf numFmtId="0" fontId="31" fillId="0" borderId="23" xfId="0" applyFont="1" applyFill="1" applyBorder="1" applyAlignment="1">
      <alignment horizontal="left" vertical="center" wrapText="1" indent="1" readingOrder="1"/>
    </xf>
    <xf numFmtId="169" fontId="31" fillId="0" borderId="23" xfId="0" applyNumberFormat="1" applyFont="1" applyBorder="1" applyAlignment="1">
      <alignment horizontal="left" vertical="center" wrapText="1" readingOrder="1"/>
    </xf>
    <xf numFmtId="43" fontId="17" fillId="0" borderId="22" xfId="0" applyNumberFormat="1" applyFont="1" applyBorder="1" applyAlignment="1">
      <alignment horizontal="left" vertical="center" wrapText="1" readingOrder="1"/>
    </xf>
    <xf numFmtId="43" fontId="17" fillId="0" borderId="15" xfId="0" applyNumberFormat="1" applyFont="1" applyBorder="1" applyAlignment="1">
      <alignment horizontal="left" vertical="center" wrapText="1" readingOrder="1"/>
    </xf>
    <xf numFmtId="0" fontId="3" fillId="0" borderId="23" xfId="0" applyFont="1" applyBorder="1" applyAlignment="1">
      <alignment horizontal="right" indent="1"/>
    </xf>
    <xf numFmtId="0" fontId="16" fillId="25" borderId="0" xfId="0" applyFont="1" applyFill="1" applyBorder="1" applyAlignment="1">
      <alignment horizontal="centerContinuous"/>
    </xf>
    <xf numFmtId="0" fontId="10" fillId="25" borderId="0" xfId="0" applyFont="1" applyFill="1" applyBorder="1" applyAlignment="1">
      <alignment horizontal="centerContinuous"/>
    </xf>
    <xf numFmtId="0" fontId="3" fillId="0" borderId="95" xfId="0" applyFont="1" applyBorder="1" applyAlignment="1">
      <alignment horizontal="right"/>
    </xf>
    <xf numFmtId="165" fontId="3" fillId="0" borderId="96" xfId="0" applyNumberFormat="1" applyFont="1" applyBorder="1"/>
    <xf numFmtId="0" fontId="0" fillId="0" borderId="15" xfId="0" applyFont="1" applyBorder="1"/>
    <xf numFmtId="0" fontId="0" fillId="0" borderId="15" xfId="0" applyFont="1" applyBorder="1" applyAlignment="1">
      <alignment horizontal="right" indent="1"/>
    </xf>
    <xf numFmtId="0" fontId="0" fillId="0" borderId="15" xfId="0" applyFont="1" applyFill="1" applyBorder="1"/>
    <xf numFmtId="0" fontId="0" fillId="0" borderId="22" xfId="0" applyFont="1" applyBorder="1"/>
    <xf numFmtId="0" fontId="0" fillId="0" borderId="22" xfId="0" applyFont="1" applyBorder="1" applyAlignment="1">
      <alignment horizontal="right" indent="1"/>
    </xf>
    <xf numFmtId="0" fontId="0" fillId="0" borderId="0" xfId="0" applyFont="1" applyBorder="1"/>
    <xf numFmtId="0" fontId="0" fillId="10" borderId="40" xfId="0" applyFont="1" applyFill="1" applyBorder="1"/>
    <xf numFmtId="165" fontId="0" fillId="0" borderId="15" xfId="0" applyNumberFormat="1" applyFont="1" applyBorder="1"/>
    <xf numFmtId="2" fontId="0" fillId="0" borderId="15" xfId="0" applyNumberFormat="1" applyFont="1" applyBorder="1"/>
    <xf numFmtId="0" fontId="0" fillId="0" borderId="22" xfId="0" applyFont="1" applyBorder="1" applyAlignment="1">
      <alignment horizontal="left" indent="1"/>
    </xf>
    <xf numFmtId="0" fontId="0" fillId="0" borderId="15" xfId="0" applyFont="1" applyBorder="1" applyAlignment="1">
      <alignment horizontal="left" indent="1"/>
    </xf>
    <xf numFmtId="165" fontId="0" fillId="0" borderId="22" xfId="0" applyNumberFormat="1" applyFont="1" applyBorder="1"/>
    <xf numFmtId="0" fontId="0" fillId="0" borderId="23" xfId="0" applyFont="1" applyBorder="1"/>
    <xf numFmtId="0" fontId="0" fillId="0" borderId="100" xfId="0" applyFont="1" applyBorder="1"/>
    <xf numFmtId="165" fontId="0" fillId="0" borderId="101" xfId="0" applyNumberFormat="1" applyFont="1" applyBorder="1"/>
    <xf numFmtId="0" fontId="0" fillId="0" borderId="102" xfId="0" applyFont="1" applyBorder="1"/>
    <xf numFmtId="0" fontId="0" fillId="0" borderId="91" xfId="0" applyFont="1" applyBorder="1"/>
    <xf numFmtId="0" fontId="0" fillId="0" borderId="92" xfId="0" applyFont="1" applyBorder="1"/>
    <xf numFmtId="0" fontId="0" fillId="0" borderId="97" xfId="0" applyFont="1" applyBorder="1"/>
    <xf numFmtId="0" fontId="0" fillId="16" borderId="0" xfId="0" applyFont="1" applyFill="1" applyAlignment="1">
      <alignment horizontal="center"/>
    </xf>
    <xf numFmtId="0" fontId="0" fillId="17" borderId="0" xfId="0" applyFont="1" applyFill="1" applyAlignment="1">
      <alignment horizontal="center"/>
    </xf>
    <xf numFmtId="0" fontId="0" fillId="18" borderId="0" xfId="0" applyFont="1" applyFill="1" applyAlignment="1">
      <alignment horizontal="center"/>
    </xf>
    <xf numFmtId="0" fontId="0" fillId="22" borderId="0" xfId="0" applyFont="1" applyFill="1"/>
    <xf numFmtId="0" fontId="0" fillId="0" borderId="0" xfId="0" applyFont="1" applyAlignment="1">
      <alignment vertical="top"/>
    </xf>
    <xf numFmtId="174" fontId="0" fillId="0" borderId="0" xfId="0" applyNumberFormat="1" applyFont="1" applyAlignment="1">
      <alignment vertical="top"/>
    </xf>
    <xf numFmtId="0" fontId="0" fillId="0" borderId="0" xfId="0" applyFont="1" applyAlignment="1">
      <alignment horizontal="right" vertical="top"/>
    </xf>
    <xf numFmtId="170" fontId="0" fillId="0" borderId="0" xfId="0" applyNumberFormat="1" applyFont="1" applyAlignment="1">
      <alignment vertical="top"/>
    </xf>
    <xf numFmtId="165" fontId="0" fillId="0" borderId="0" xfId="0" applyNumberFormat="1" applyFont="1" applyAlignment="1">
      <alignment vertical="top"/>
    </xf>
    <xf numFmtId="0" fontId="0" fillId="24" borderId="69" xfId="0" applyFont="1" applyFill="1" applyBorder="1" applyAlignment="1">
      <alignment horizontal="centerContinuous" vertical="top"/>
    </xf>
    <xf numFmtId="0" fontId="0" fillId="24" borderId="67" xfId="0" applyFont="1" applyFill="1" applyBorder="1" applyAlignment="1">
      <alignment horizontal="centerContinuous" vertical="top"/>
    </xf>
    <xf numFmtId="165" fontId="0" fillId="24" borderId="68" xfId="0" applyNumberFormat="1" applyFont="1" applyFill="1" applyBorder="1" applyAlignment="1">
      <alignment horizontal="centerContinuous" vertical="top"/>
    </xf>
    <xf numFmtId="165" fontId="0" fillId="6" borderId="84" xfId="0" applyNumberFormat="1" applyFont="1" applyFill="1" applyBorder="1" applyAlignment="1">
      <alignment horizontal="centerContinuous" vertical="top"/>
    </xf>
    <xf numFmtId="165" fontId="0" fillId="6" borderId="85" xfId="0" applyNumberFormat="1" applyFont="1" applyFill="1" applyBorder="1" applyAlignment="1">
      <alignment horizontal="centerContinuous" vertical="top"/>
    </xf>
    <xf numFmtId="0" fontId="0" fillId="6" borderId="86" xfId="0" applyFont="1" applyFill="1" applyBorder="1" applyAlignment="1">
      <alignment horizontal="centerContinuous" vertical="top"/>
    </xf>
    <xf numFmtId="165" fontId="0" fillId="8" borderId="74" xfId="0" applyNumberFormat="1" applyFont="1" applyFill="1" applyBorder="1" applyAlignment="1">
      <alignment horizontal="centerContinuous" vertical="top"/>
    </xf>
    <xf numFmtId="165" fontId="0" fillId="8" borderId="76" xfId="0" applyNumberFormat="1" applyFont="1" applyFill="1" applyBorder="1" applyAlignment="1">
      <alignment horizontal="centerContinuous" vertical="top"/>
    </xf>
    <xf numFmtId="165" fontId="0" fillId="8" borderId="75" xfId="0" applyNumberFormat="1" applyFont="1" applyFill="1" applyBorder="1" applyAlignment="1">
      <alignment horizontal="centerContinuous" vertical="top"/>
    </xf>
    <xf numFmtId="0" fontId="0" fillId="8" borderId="76" xfId="0" applyFont="1" applyFill="1" applyBorder="1" applyAlignment="1">
      <alignment horizontal="centerContinuous" vertical="top"/>
    </xf>
    <xf numFmtId="0" fontId="0" fillId="8" borderId="77" xfId="0" applyFont="1" applyFill="1" applyBorder="1" applyAlignment="1">
      <alignment horizontal="centerContinuous" vertical="top"/>
    </xf>
    <xf numFmtId="0" fontId="0" fillId="0" borderId="0" xfId="0" applyFont="1" applyAlignment="1">
      <alignment horizontal="center" vertical="top" wrapText="1"/>
    </xf>
    <xf numFmtId="174" fontId="0" fillId="0" borderId="27" xfId="0" applyNumberFormat="1" applyFont="1" applyBorder="1" applyAlignment="1">
      <alignment horizontal="center" vertical="top" wrapText="1"/>
    </xf>
    <xf numFmtId="0" fontId="0" fillId="24" borderId="27" xfId="0" applyFont="1" applyFill="1" applyBorder="1" applyAlignment="1">
      <alignment horizontal="center" vertical="top" wrapText="1"/>
    </xf>
    <xf numFmtId="0" fontId="0" fillId="6" borderId="87" xfId="0" applyFont="1" applyFill="1" applyBorder="1" applyAlignment="1">
      <alignment horizontal="center" vertical="top" wrapText="1"/>
    </xf>
    <xf numFmtId="0" fontId="0" fillId="6" borderId="23" xfId="0" applyFont="1" applyFill="1" applyBorder="1" applyAlignment="1">
      <alignment horizontal="center" vertical="top" wrapText="1"/>
    </xf>
    <xf numFmtId="0" fontId="0" fillId="6" borderId="88" xfId="0" applyFont="1" applyFill="1" applyBorder="1" applyAlignment="1">
      <alignment horizontal="center" vertical="top" wrapText="1"/>
    </xf>
    <xf numFmtId="0" fontId="0" fillId="8" borderId="64"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27" xfId="0" applyFont="1" applyFill="1" applyBorder="1" applyAlignment="1">
      <alignment horizontal="center" vertical="top" wrapText="1"/>
    </xf>
    <xf numFmtId="0" fontId="0" fillId="8" borderId="23" xfId="0" applyFont="1" applyFill="1" applyBorder="1" applyAlignment="1">
      <alignment horizontal="center" vertical="top" wrapText="1"/>
    </xf>
    <xf numFmtId="0" fontId="0" fillId="8" borderId="63" xfId="0" applyFont="1" applyFill="1" applyBorder="1" applyAlignment="1">
      <alignment horizontal="center" vertical="top" wrapText="1"/>
    </xf>
    <xf numFmtId="0" fontId="0" fillId="6" borderId="89" xfId="0" applyFont="1" applyFill="1" applyBorder="1" applyAlignment="1">
      <alignment horizontal="center" vertical="top" wrapText="1"/>
    </xf>
    <xf numFmtId="0" fontId="0" fillId="6" borderId="27" xfId="0" applyFont="1" applyFill="1" applyBorder="1" applyAlignment="1">
      <alignment horizontal="center" vertical="top" wrapText="1"/>
    </xf>
    <xf numFmtId="0" fontId="0" fillId="6" borderId="90" xfId="0" applyFont="1" applyFill="1" applyBorder="1" applyAlignment="1">
      <alignment horizontal="center" vertical="top" wrapText="1"/>
    </xf>
    <xf numFmtId="0" fontId="0" fillId="8" borderId="78" xfId="0" applyFont="1" applyFill="1" applyBorder="1" applyAlignment="1">
      <alignment horizontal="center" vertical="top" wrapText="1"/>
    </xf>
    <xf numFmtId="0" fontId="0" fillId="8" borderId="79" xfId="0" applyFont="1" applyFill="1" applyBorder="1" applyAlignment="1">
      <alignment horizontal="center" vertical="top" wrapText="1"/>
    </xf>
    <xf numFmtId="174" fontId="0" fillId="0" borderId="15" xfId="0" applyNumberFormat="1" applyFont="1" applyBorder="1" applyAlignment="1">
      <alignment horizontal="center" vertical="top" wrapText="1"/>
    </xf>
    <xf numFmtId="0" fontId="0" fillId="24" borderId="15" xfId="0" applyFont="1" applyFill="1" applyBorder="1" applyAlignment="1">
      <alignment horizontal="center" vertical="top" wrapText="1"/>
    </xf>
    <xf numFmtId="0" fontId="0" fillId="6" borderId="91" xfId="0" applyFont="1" applyFill="1" applyBorder="1" applyAlignment="1">
      <alignment horizontal="center" vertical="top" wrapText="1"/>
    </xf>
    <xf numFmtId="0" fontId="0" fillId="6" borderId="15" xfId="0" applyFont="1" applyFill="1" applyBorder="1" applyAlignment="1">
      <alignment horizontal="center" vertical="top" wrapText="1"/>
    </xf>
    <xf numFmtId="0" fontId="0" fillId="6" borderId="92" xfId="0" applyFont="1" applyFill="1" applyBorder="1" applyAlignment="1">
      <alignment horizontal="center" vertical="top" wrapText="1"/>
    </xf>
    <xf numFmtId="0" fontId="0" fillId="8" borderId="55" xfId="0" applyFont="1" applyFill="1" applyBorder="1" applyAlignment="1">
      <alignment horizontal="center" vertical="top" wrapText="1"/>
    </xf>
    <xf numFmtId="0" fontId="0" fillId="8" borderId="15" xfId="0" applyFont="1" applyFill="1" applyBorder="1" applyAlignment="1">
      <alignment horizontal="center" vertical="top" wrapText="1"/>
    </xf>
    <xf numFmtId="0" fontId="0" fillId="8" borderId="80" xfId="0" applyFont="1" applyFill="1" applyBorder="1" applyAlignment="1">
      <alignment horizontal="center" vertical="top" wrapText="1"/>
    </xf>
    <xf numFmtId="174" fontId="0" fillId="0" borderId="22" xfId="0" applyNumberFormat="1" applyFont="1" applyBorder="1" applyAlignment="1">
      <alignment horizontal="center" vertical="top" wrapText="1"/>
    </xf>
    <xf numFmtId="0" fontId="0" fillId="24" borderId="22" xfId="0" applyFont="1" applyFill="1" applyBorder="1" applyAlignment="1">
      <alignment horizontal="center" vertical="top" wrapText="1"/>
    </xf>
    <xf numFmtId="0" fontId="0" fillId="6" borderId="93" xfId="0" applyFont="1" applyFill="1" applyBorder="1" applyAlignment="1">
      <alignment horizontal="center" vertical="top" wrapText="1"/>
    </xf>
    <xf numFmtId="0" fontId="0" fillId="6" borderId="22" xfId="0" applyFont="1" applyFill="1" applyBorder="1" applyAlignment="1">
      <alignment horizontal="center" vertical="top" wrapText="1"/>
    </xf>
    <xf numFmtId="0" fontId="0" fillId="6" borderId="94" xfId="0" applyFont="1" applyFill="1" applyBorder="1" applyAlignment="1">
      <alignment horizontal="center" vertical="top" wrapText="1"/>
    </xf>
    <xf numFmtId="0" fontId="0" fillId="8" borderId="81" xfId="0" applyFont="1" applyFill="1" applyBorder="1" applyAlignment="1">
      <alignment horizontal="center" vertical="top" wrapText="1"/>
    </xf>
    <xf numFmtId="0" fontId="0" fillId="8" borderId="22" xfId="0" applyFont="1" applyFill="1" applyBorder="1" applyAlignment="1">
      <alignment horizontal="center" vertical="top" wrapText="1"/>
    </xf>
    <xf numFmtId="0" fontId="0" fillId="8" borderId="61" xfId="0" applyFont="1" applyFill="1" applyBorder="1" applyAlignment="1">
      <alignment horizontal="center" vertical="top" wrapText="1"/>
    </xf>
    <xf numFmtId="0" fontId="0" fillId="0" borderId="46" xfId="0" applyFont="1" applyBorder="1" applyAlignment="1">
      <alignment horizontal="center" vertical="top"/>
    </xf>
    <xf numFmtId="174" fontId="0" fillId="0" borderId="22" xfId="0" applyNumberFormat="1" applyFont="1" applyBorder="1" applyAlignment="1">
      <alignment horizontal="center" vertical="top"/>
    </xf>
    <xf numFmtId="0" fontId="0" fillId="24" borderId="22" xfId="0" applyFont="1" applyFill="1" applyBorder="1" applyAlignment="1">
      <alignment horizontal="center" vertical="top"/>
    </xf>
    <xf numFmtId="0" fontId="0" fillId="6" borderId="93" xfId="0" applyFont="1" applyFill="1" applyBorder="1" applyAlignment="1">
      <alignment horizontal="center" vertical="top"/>
    </xf>
    <xf numFmtId="0" fontId="0" fillId="6" borderId="22" xfId="0" applyFont="1" applyFill="1" applyBorder="1" applyAlignment="1">
      <alignment horizontal="center" vertical="top"/>
    </xf>
    <xf numFmtId="0" fontId="0" fillId="6" borderId="94" xfId="0" applyFont="1" applyFill="1" applyBorder="1" applyAlignment="1">
      <alignment horizontal="center" vertical="top"/>
    </xf>
    <xf numFmtId="0" fontId="0" fillId="8" borderId="81" xfId="0" applyFont="1" applyFill="1" applyBorder="1" applyAlignment="1">
      <alignment horizontal="center" vertical="top"/>
    </xf>
    <xf numFmtId="0" fontId="0" fillId="8" borderId="27" xfId="0" applyFont="1" applyFill="1" applyBorder="1" applyAlignment="1">
      <alignment horizontal="center" vertical="top"/>
    </xf>
    <xf numFmtId="0" fontId="0" fillId="8" borderId="22" xfId="0" applyFont="1" applyFill="1" applyBorder="1" applyAlignment="1">
      <alignment horizontal="center" vertical="top"/>
    </xf>
    <xf numFmtId="0" fontId="0" fillId="8" borderId="61" xfId="0" applyFont="1" applyFill="1" applyBorder="1" applyAlignment="1">
      <alignment horizontal="center" vertical="top"/>
    </xf>
    <xf numFmtId="0" fontId="0" fillId="0" borderId="0" xfId="0" applyFont="1" applyAlignment="1">
      <alignment horizontal="center" vertical="top"/>
    </xf>
    <xf numFmtId="0" fontId="0" fillId="0" borderId="15" xfId="0" applyFont="1" applyBorder="1" applyAlignment="1">
      <alignment vertical="top"/>
    </xf>
    <xf numFmtId="170" fontId="0" fillId="0" borderId="28" xfId="0" applyNumberFormat="1" applyFont="1" applyBorder="1" applyAlignment="1">
      <alignment vertical="top"/>
    </xf>
    <xf numFmtId="2" fontId="0" fillId="24" borderId="22" xfId="0" applyNumberFormat="1" applyFont="1" applyFill="1" applyBorder="1" applyAlignment="1">
      <alignment vertical="top"/>
    </xf>
    <xf numFmtId="165" fontId="0" fillId="8" borderId="24" xfId="0" applyNumberFormat="1" applyFont="1" applyFill="1" applyBorder="1" applyAlignment="1">
      <alignment vertical="top"/>
    </xf>
    <xf numFmtId="165" fontId="0" fillId="8" borderId="43" xfId="0" applyNumberFormat="1" applyFont="1" applyFill="1" applyBorder="1" applyAlignment="1">
      <alignment vertical="top"/>
    </xf>
    <xf numFmtId="0" fontId="0" fillId="0" borderId="15" xfId="0" applyFont="1" applyFill="1" applyBorder="1" applyAlignment="1">
      <alignment vertical="top"/>
    </xf>
    <xf numFmtId="170" fontId="0" fillId="0" borderId="15" xfId="0" applyNumberFormat="1" applyFont="1" applyFill="1" applyBorder="1" applyAlignment="1">
      <alignment vertical="top"/>
    </xf>
    <xf numFmtId="2" fontId="0" fillId="24" borderId="15" xfId="0" applyNumberFormat="1" applyFont="1" applyFill="1" applyBorder="1" applyAlignment="1">
      <alignment vertical="top"/>
    </xf>
    <xf numFmtId="165" fontId="0" fillId="8" borderId="0" xfId="0" applyNumberFormat="1" applyFont="1" applyFill="1" applyBorder="1" applyAlignment="1">
      <alignment vertical="top"/>
    </xf>
    <xf numFmtId="165" fontId="0" fillId="8" borderId="44" xfId="0" applyNumberFormat="1" applyFont="1" applyFill="1" applyBorder="1" applyAlignment="1">
      <alignment vertical="top"/>
    </xf>
    <xf numFmtId="170" fontId="0" fillId="0" borderId="15" xfId="0" applyNumberFormat="1" applyFont="1" applyBorder="1" applyAlignment="1">
      <alignment vertical="top"/>
    </xf>
    <xf numFmtId="170" fontId="0" fillId="0" borderId="23" xfId="0" applyNumberFormat="1" applyFont="1" applyBorder="1" applyAlignment="1">
      <alignment vertical="top"/>
    </xf>
    <xf numFmtId="2" fontId="0" fillId="24" borderId="23" xfId="0" applyNumberFormat="1" applyFont="1" applyFill="1" applyBorder="1" applyAlignment="1">
      <alignment vertical="top"/>
    </xf>
    <xf numFmtId="165" fontId="0" fillId="8" borderId="83" xfId="0" applyNumberFormat="1" applyFont="1" applyFill="1" applyBorder="1" applyAlignment="1">
      <alignment vertical="top"/>
    </xf>
    <xf numFmtId="165" fontId="0" fillId="8" borderId="82" xfId="0" applyNumberFormat="1" applyFont="1" applyFill="1" applyBorder="1" applyAlignment="1">
      <alignment vertical="top"/>
    </xf>
    <xf numFmtId="43" fontId="0" fillId="0" borderId="0" xfId="0" applyNumberFormat="1" applyFont="1" applyAlignment="1">
      <alignment vertical="top"/>
    </xf>
    <xf numFmtId="175" fontId="0" fillId="0" borderId="0" xfId="0" applyNumberFormat="1" applyFont="1" applyAlignment="1">
      <alignment vertical="top"/>
    </xf>
    <xf numFmtId="9" fontId="0" fillId="0" borderId="0" xfId="0" applyNumberFormat="1" applyFont="1"/>
    <xf numFmtId="0" fontId="0" fillId="0" borderId="0" xfId="0" applyFont="1" applyAlignment="1">
      <alignment horizontal="left" vertical="center" indent="8"/>
    </xf>
    <xf numFmtId="10" fontId="0" fillId="0" borderId="0" xfId="0" applyNumberFormat="1" applyFont="1"/>
    <xf numFmtId="0" fontId="0" fillId="11" borderId="0" xfId="0" applyFont="1" applyFill="1"/>
    <xf numFmtId="0" fontId="0" fillId="0" borderId="0" xfId="0" applyFont="1" applyAlignment="1">
      <alignment vertical="center" wrapText="1"/>
    </xf>
    <xf numFmtId="0" fontId="0" fillId="0" borderId="27" xfId="0" applyFont="1" applyBorder="1" applyAlignment="1">
      <alignment horizontal="center" vertical="center"/>
    </xf>
    <xf numFmtId="0" fontId="34" fillId="0" borderId="22" xfId="0" applyFont="1" applyBorder="1"/>
    <xf numFmtId="0" fontId="0" fillId="0" borderId="22" xfId="0" applyFont="1" applyBorder="1" applyAlignment="1">
      <alignment horizontal="center"/>
    </xf>
    <xf numFmtId="0" fontId="34" fillId="0" borderId="15" xfId="0" applyFont="1" applyBorder="1"/>
    <xf numFmtId="0" fontId="0" fillId="0" borderId="15" xfId="0" applyFont="1" applyBorder="1" applyAlignment="1">
      <alignment horizontal="center"/>
    </xf>
    <xf numFmtId="0" fontId="34" fillId="0" borderId="23" xfId="0" applyFont="1" applyBorder="1"/>
    <xf numFmtId="0" fontId="0" fillId="0" borderId="23" xfId="0" applyFont="1" applyBorder="1" applyAlignment="1">
      <alignment horizontal="center"/>
    </xf>
    <xf numFmtId="0" fontId="34" fillId="0" borderId="0" xfId="0" applyFont="1"/>
    <xf numFmtId="0" fontId="0" fillId="20" borderId="52" xfId="0" applyFont="1" applyFill="1" applyBorder="1" applyAlignment="1">
      <alignment horizontal="centerContinuous"/>
    </xf>
    <xf numFmtId="0" fontId="0" fillId="0" borderId="0" xfId="0" applyFont="1" applyAlignment="1">
      <alignment horizontal="center" vertical="center"/>
    </xf>
    <xf numFmtId="0" fontId="0" fillId="20" borderId="54" xfId="0" applyFont="1" applyFill="1" applyBorder="1" applyAlignment="1">
      <alignment horizontal="centerContinuous"/>
    </xf>
    <xf numFmtId="0" fontId="0" fillId="0" borderId="55" xfId="0" applyFont="1" applyBorder="1"/>
    <xf numFmtId="0" fontId="0" fillId="0" borderId="0" xfId="0" applyFont="1" applyBorder="1" applyAlignment="1">
      <alignment horizontal="center"/>
    </xf>
    <xf numFmtId="0" fontId="0" fillId="0" borderId="56" xfId="0" applyFont="1" applyBorder="1"/>
    <xf numFmtId="0" fontId="0" fillId="0" borderId="0" xfId="0" applyFont="1" applyBorder="1" applyAlignment="1">
      <alignment horizontal="right"/>
    </xf>
    <xf numFmtId="165" fontId="0" fillId="0" borderId="0" xfId="0" applyNumberFormat="1" applyFont="1" applyBorder="1"/>
    <xf numFmtId="0" fontId="0" fillId="0" borderId="48" xfId="0" applyFont="1" applyBorder="1"/>
    <xf numFmtId="0" fontId="0" fillId="0" borderId="49" xfId="0" applyFont="1" applyBorder="1"/>
    <xf numFmtId="0" fontId="0" fillId="0" borderId="59" xfId="0" applyFont="1" applyBorder="1"/>
    <xf numFmtId="0" fontId="0" fillId="0" borderId="60" xfId="0" applyFont="1" applyBorder="1"/>
    <xf numFmtId="0" fontId="0" fillId="0" borderId="61" xfId="0" applyFont="1" applyBorder="1"/>
    <xf numFmtId="166" fontId="0" fillId="0" borderId="0" xfId="0" applyNumberFormat="1" applyFont="1" applyAlignment="1"/>
    <xf numFmtId="0" fontId="0" fillId="0" borderId="62" xfId="0" applyFont="1" applyBorder="1"/>
    <xf numFmtId="165" fontId="0" fillId="0" borderId="23" xfId="0" applyNumberFormat="1" applyFont="1" applyBorder="1"/>
    <xf numFmtId="0" fontId="0" fillId="0" borderId="64" xfId="0" applyFont="1" applyBorder="1"/>
    <xf numFmtId="165" fontId="0" fillId="0" borderId="14" xfId="0" applyNumberFormat="1" applyFont="1" applyBorder="1"/>
    <xf numFmtId="0" fontId="0" fillId="0" borderId="14" xfId="0" applyFont="1" applyBorder="1"/>
    <xf numFmtId="0" fontId="0" fillId="0" borderId="67" xfId="0" applyFont="1" applyBorder="1"/>
    <xf numFmtId="0" fontId="0" fillId="0" borderId="68" xfId="0" applyFont="1" applyBorder="1"/>
    <xf numFmtId="0" fontId="0" fillId="0" borderId="70" xfId="0" applyFont="1" applyBorder="1"/>
    <xf numFmtId="0" fontId="0" fillId="0" borderId="71" xfId="0" applyFont="1" applyBorder="1"/>
    <xf numFmtId="165" fontId="0" fillId="0" borderId="72" xfId="0" applyNumberFormat="1" applyFont="1" applyBorder="1"/>
    <xf numFmtId="9" fontId="0" fillId="0" borderId="72" xfId="0" applyNumberFormat="1" applyFont="1" applyBorder="1" applyAlignment="1">
      <alignment horizontal="center"/>
    </xf>
    <xf numFmtId="0" fontId="0" fillId="0" borderId="72" xfId="0" applyFont="1" applyBorder="1"/>
    <xf numFmtId="9" fontId="0" fillId="0" borderId="73" xfId="0" applyNumberFormat="1" applyFont="1" applyBorder="1" applyAlignment="1">
      <alignment horizontal="center"/>
    </xf>
    <xf numFmtId="167" fontId="0" fillId="0" borderId="0" xfId="0" applyNumberFormat="1" applyFont="1"/>
    <xf numFmtId="0" fontId="34" fillId="0" borderId="27" xfId="0" applyFont="1" applyBorder="1"/>
    <xf numFmtId="0" fontId="0" fillId="0" borderId="27" xfId="0" applyFont="1" applyBorder="1" applyAlignment="1">
      <alignment horizontal="center"/>
    </xf>
    <xf numFmtId="0" fontId="34" fillId="0" borderId="27" xfId="0" applyFont="1" applyBorder="1" applyAlignment="1">
      <alignment horizontal="center"/>
    </xf>
    <xf numFmtId="166" fontId="35" fillId="0" borderId="27" xfId="0" applyNumberFormat="1" applyFont="1" applyBorder="1" applyAlignment="1">
      <alignment horizontal="right"/>
    </xf>
    <xf numFmtId="0" fontId="34" fillId="0" borderId="27" xfId="0" applyNumberFormat="1" applyFont="1" applyBorder="1" applyAlignment="1">
      <alignment horizontal="center"/>
    </xf>
    <xf numFmtId="0" fontId="36" fillId="0" borderId="0" xfId="0" applyFont="1" applyAlignment="1">
      <alignment horizontal="right"/>
    </xf>
    <xf numFmtId="0" fontId="37" fillId="19" borderId="29" xfId="0" applyFont="1" applyFill="1" applyBorder="1" applyAlignment="1">
      <alignment horizontal="center"/>
    </xf>
    <xf numFmtId="0" fontId="0" fillId="6" borderId="12" xfId="0" applyFont="1" applyFill="1" applyBorder="1" applyAlignment="1">
      <alignment horizontal="center" vertical="top"/>
    </xf>
    <xf numFmtId="0" fontId="0" fillId="6" borderId="16" xfId="0" applyFont="1" applyFill="1" applyBorder="1" applyAlignment="1">
      <alignment horizontal="center" vertical="top"/>
    </xf>
    <xf numFmtId="0" fontId="0" fillId="6" borderId="16" xfId="0" applyFont="1" applyFill="1" applyBorder="1" applyAlignment="1">
      <alignment vertical="top"/>
    </xf>
    <xf numFmtId="0" fontId="0" fillId="6" borderId="17" xfId="0" applyFont="1" applyFill="1" applyBorder="1" applyAlignment="1">
      <alignment vertical="top"/>
    </xf>
    <xf numFmtId="14" fontId="0" fillId="0" borderId="0" xfId="0" applyNumberFormat="1" applyFont="1" applyAlignment="1">
      <alignment horizontal="center" vertical="top"/>
    </xf>
    <xf numFmtId="14" fontId="0" fillId="0" borderId="0" xfId="0" applyNumberFormat="1" applyFont="1" applyAlignment="1">
      <alignment vertical="top"/>
    </xf>
    <xf numFmtId="0" fontId="0" fillId="0" borderId="0" xfId="0" applyFont="1" applyAlignment="1">
      <alignment vertical="top" wrapText="1"/>
    </xf>
    <xf numFmtId="172" fontId="37" fillId="19" borderId="29" xfId="0" applyNumberFormat="1" applyFont="1" applyFill="1" applyBorder="1" applyAlignment="1" applyProtection="1">
      <alignment horizontal="center" vertical="center"/>
      <protection locked="0"/>
    </xf>
    <xf numFmtId="171" fontId="37" fillId="19" borderId="29" xfId="0" applyNumberFormat="1" applyFont="1" applyFill="1" applyBorder="1" applyAlignment="1">
      <alignment horizontal="center"/>
    </xf>
    <xf numFmtId="0" fontId="36" fillId="0" borderId="0" xfId="0" applyFont="1" applyBorder="1" applyAlignment="1">
      <alignment horizontal="right"/>
    </xf>
    <xf numFmtId="0" fontId="0" fillId="0" borderId="0" xfId="0" applyFont="1" applyProtection="1"/>
    <xf numFmtId="166" fontId="37" fillId="19" borderId="29" xfId="1" applyNumberFormat="1" applyFont="1" applyFill="1" applyBorder="1" applyAlignment="1" applyProtection="1">
      <alignment horizontal="center"/>
    </xf>
    <xf numFmtId="0" fontId="18" fillId="0" borderId="0" xfId="0" applyFont="1" applyFill="1" applyProtection="1"/>
    <xf numFmtId="172" fontId="36" fillId="0" borderId="29" xfId="0" applyNumberFormat="1" applyFont="1" applyFill="1" applyBorder="1" applyAlignment="1">
      <alignment horizontal="left"/>
    </xf>
    <xf numFmtId="166" fontId="0" fillId="0" borderId="0" xfId="0" applyNumberFormat="1" applyFont="1" applyProtection="1"/>
    <xf numFmtId="166" fontId="38" fillId="0" borderId="33" xfId="1" applyNumberFormat="1" applyFont="1" applyFill="1" applyBorder="1" applyAlignment="1" applyProtection="1">
      <alignment horizontal="center"/>
    </xf>
    <xf numFmtId="0" fontId="22" fillId="20" borderId="29" xfId="0" applyFont="1" applyFill="1" applyBorder="1" applyAlignment="1" applyProtection="1">
      <alignment horizontal="center" vertical="center" wrapText="1"/>
    </xf>
    <xf numFmtId="0" fontId="22" fillId="21" borderId="29" xfId="0" applyFont="1" applyFill="1" applyBorder="1" applyAlignment="1" applyProtection="1">
      <alignment horizontal="center" vertical="center" wrapText="1"/>
    </xf>
    <xf numFmtId="166" fontId="37" fillId="0" borderId="33" xfId="1" applyNumberFormat="1" applyFont="1" applyFill="1" applyBorder="1" applyAlignment="1" applyProtection="1">
      <alignment horizontal="center"/>
    </xf>
    <xf numFmtId="0" fontId="22" fillId="2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left" vertical="top" wrapText="1"/>
    </xf>
    <xf numFmtId="0" fontId="22" fillId="12" borderId="18" xfId="0" applyFont="1" applyFill="1" applyBorder="1" applyAlignment="1">
      <alignment horizontal="center" vertical="center"/>
    </xf>
    <xf numFmtId="0" fontId="22" fillId="12" borderId="19" xfId="0" applyFont="1" applyFill="1" applyBorder="1" applyAlignment="1">
      <alignment horizontal="center" vertical="center"/>
    </xf>
    <xf numFmtId="0" fontId="22" fillId="12" borderId="20" xfId="0" applyFont="1" applyFill="1" applyBorder="1" applyAlignment="1">
      <alignment horizontal="center" vertical="center"/>
    </xf>
    <xf numFmtId="0" fontId="0" fillId="6" borderId="5" xfId="0" applyFill="1" applyBorder="1" applyAlignment="1">
      <alignment horizontal="center"/>
    </xf>
    <xf numFmtId="0" fontId="1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97300"/>
      <color rgb="FF002D72"/>
      <color rgb="FF716258"/>
      <color rgb="FFE57200"/>
      <color rgb="FFFFC72C"/>
      <color rgb="FFE8D9F3"/>
      <color rgb="FF003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'Distance Adjustment'!$O$8</c:f>
              <c:strCache>
                <c:ptCount val="1"/>
                <c:pt idx="0">
                  <c:v>Assigned Capital</c:v>
                </c:pt>
              </c:strCache>
            </c:strRef>
          </c:tx>
          <c:spPr>
            <a:solidFill>
              <a:schemeClr val="accent2"/>
            </a:solidFill>
            <a:ln>
              <a:noFill/>
            </a:ln>
            <a:effectLst/>
          </c:spPr>
          <c:cat>
            <c:numRef>
              <c:f>'Distance Adjustment'!$B$13:$B$23</c:f>
              <c:numCache>
                <c:formatCode>0.0</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'Distance Adjustment'!$O$13:$O$23</c:f>
              <c:numCache>
                <c:formatCode>_("$"* #,##0_);_("$"* \(#,##0\);_("$"* "-"??_);_(@_)</c:formatCode>
                <c:ptCount val="11"/>
                <c:pt idx="0">
                  <c:v>1260250.8333333333</c:v>
                </c:pt>
                <c:pt idx="1">
                  <c:v>1221183.0574999999</c:v>
                </c:pt>
                <c:pt idx="2">
                  <c:v>1162791.4355555556</c:v>
                </c:pt>
                <c:pt idx="3">
                  <c:v>1085075.9675</c:v>
                </c:pt>
                <c:pt idx="4">
                  <c:v>988036.65333333332</c:v>
                </c:pt>
                <c:pt idx="5">
                  <c:v>871673.4930555555</c:v>
                </c:pt>
                <c:pt idx="6">
                  <c:v>735986.48666666681</c:v>
                </c:pt>
                <c:pt idx="7">
                  <c:v>580975.63416666677</c:v>
                </c:pt>
                <c:pt idx="8">
                  <c:v>406640.93555555557</c:v>
                </c:pt>
                <c:pt idx="9">
                  <c:v>212982.39083333328</c:v>
                </c:pt>
                <c:pt idx="10">
                  <c:v>0</c:v>
                </c:pt>
              </c:numCache>
            </c:numRef>
          </c:val>
          <c:extLst>
            <c:ext xmlns:c16="http://schemas.microsoft.com/office/drawing/2014/chart" uri="{C3380CC4-5D6E-409C-BE32-E72D297353CC}">
              <c16:uniqueId val="{00000002-DEA0-4FDD-8D25-7D7741A41EBC}"/>
            </c:ext>
          </c:extLst>
        </c:ser>
        <c:ser>
          <c:idx val="0"/>
          <c:order val="1"/>
          <c:tx>
            <c:strRef>
              <c:f>'Distance Adjustment'!$K$8</c:f>
              <c:strCache>
                <c:ptCount val="1"/>
                <c:pt idx="0">
                  <c:v>Adjusted Capital</c:v>
                </c:pt>
              </c:strCache>
            </c:strRef>
          </c:tx>
          <c:spPr>
            <a:solidFill>
              <a:schemeClr val="accent1"/>
            </a:solidFill>
            <a:ln>
              <a:noFill/>
            </a:ln>
            <a:effectLst/>
          </c:spPr>
          <c:cat>
            <c:numRef>
              <c:f>'Distance Adjustment'!$B$13:$B$23</c:f>
              <c:numCache>
                <c:formatCode>0.0</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'Distance Adjustment'!$K$13:$K$23</c:f>
              <c:numCache>
                <c:formatCode>_("$"* #,##0_);_("$"* \(#,##0\);_("$"* "-"??_);_(@_)</c:formatCode>
                <c:ptCount val="11"/>
                <c:pt idx="0">
                  <c:v>437925</c:v>
                </c:pt>
                <c:pt idx="1">
                  <c:v>605358.32500000007</c:v>
                </c:pt>
                <c:pt idx="2">
                  <c:v>855608.1333333333</c:v>
                </c:pt>
                <c:pt idx="3">
                  <c:v>1188674.425</c:v>
                </c:pt>
                <c:pt idx="4">
                  <c:v>1604557.2</c:v>
                </c:pt>
                <c:pt idx="5">
                  <c:v>2103256.4583333335</c:v>
                </c:pt>
                <c:pt idx="6">
                  <c:v>2684772.1999999993</c:v>
                </c:pt>
                <c:pt idx="7">
                  <c:v>3349104.4249999998</c:v>
                </c:pt>
                <c:pt idx="8">
                  <c:v>4096253.1333333333</c:v>
                </c:pt>
                <c:pt idx="9">
                  <c:v>4926218.3250000002</c:v>
                </c:pt>
                <c:pt idx="10">
                  <c:v>5839000</c:v>
                </c:pt>
              </c:numCache>
            </c:numRef>
          </c:val>
          <c:extLst>
            <c:ext xmlns:c16="http://schemas.microsoft.com/office/drawing/2014/chart" uri="{C3380CC4-5D6E-409C-BE32-E72D297353CC}">
              <c16:uniqueId val="{00000000-2899-4042-94AA-5398811212F8}"/>
            </c:ext>
          </c:extLst>
        </c:ser>
        <c:dLbls>
          <c:showLegendKey val="0"/>
          <c:showVal val="0"/>
          <c:showCatName val="0"/>
          <c:showSerName val="0"/>
          <c:showPercent val="0"/>
          <c:showBubbleSize val="0"/>
        </c:dLbls>
        <c:axId val="234540320"/>
        <c:axId val="234537184"/>
      </c:areaChart>
      <c:catAx>
        <c:axId val="234540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in</a:t>
                </a:r>
                <a:r>
                  <a:rPr lang="en-US" baseline="0"/>
                  <a:t> Miles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537184"/>
        <c:crosses val="autoZero"/>
        <c:auto val="1"/>
        <c:lblAlgn val="ctr"/>
        <c:lblOffset val="100"/>
        <c:noMultiLvlLbl val="0"/>
      </c:catAx>
      <c:valAx>
        <c:axId val="2345371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540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Substation</a:t>
            </a:r>
            <a:r>
              <a:rPr lang="en-US" baseline="0"/>
              <a:t> Costs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areaChart>
        <c:grouping val="stacked"/>
        <c:varyColors val="0"/>
        <c:ser>
          <c:idx val="1"/>
          <c:order val="0"/>
          <c:tx>
            <c:strRef>
              <c:f>Chart!$B$4</c:f>
              <c:strCache>
                <c:ptCount val="1"/>
                <c:pt idx="0">
                  <c:v>Nomination</c:v>
                </c:pt>
              </c:strCache>
            </c:strRef>
          </c:tx>
          <c:spPr>
            <a:solidFill>
              <a:schemeClr val="accent5">
                <a:alpha val="85000"/>
              </a:schemeClr>
            </a:solidFill>
            <a:ln>
              <a:noFill/>
            </a:ln>
            <a:effectLst>
              <a:innerShdw dist="12700" dir="16200000">
                <a:schemeClr val="lt1"/>
              </a:innerShdw>
            </a:effectLst>
          </c:spPr>
          <c:cat>
            <c:numRef>
              <c:f>Chart!$A$5:$A$15</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Chart!$B$5:$B$15</c:f>
              <c:numCache>
                <c:formatCode>_("$"* #,##0_);_("$"* \(#,##0\);_("$"* "-"??_);_(@_)</c:formatCode>
                <c:ptCount val="11"/>
                <c:pt idx="0">
                  <c:v>729875</c:v>
                </c:pt>
                <c:pt idx="1">
                  <c:v>729875</c:v>
                </c:pt>
                <c:pt idx="2">
                  <c:v>729875</c:v>
                </c:pt>
                <c:pt idx="3">
                  <c:v>729875</c:v>
                </c:pt>
                <c:pt idx="4">
                  <c:v>729875</c:v>
                </c:pt>
                <c:pt idx="5">
                  <c:v>729875</c:v>
                </c:pt>
                <c:pt idx="6">
                  <c:v>729875</c:v>
                </c:pt>
                <c:pt idx="7">
                  <c:v>729875</c:v>
                </c:pt>
                <c:pt idx="8">
                  <c:v>729875</c:v>
                </c:pt>
                <c:pt idx="9">
                  <c:v>729875</c:v>
                </c:pt>
                <c:pt idx="10">
                  <c:v>729875</c:v>
                </c:pt>
              </c:numCache>
            </c:numRef>
          </c:val>
          <c:extLst>
            <c:ext xmlns:c16="http://schemas.microsoft.com/office/drawing/2014/chart" uri="{C3380CC4-5D6E-409C-BE32-E72D297353CC}">
              <c16:uniqueId val="{00000001-755D-44D2-AA2A-4D1608DCD24E}"/>
            </c:ext>
          </c:extLst>
        </c:ser>
        <c:ser>
          <c:idx val="2"/>
          <c:order val="1"/>
          <c:tx>
            <c:strRef>
              <c:f>Chart!$C$4</c:f>
              <c:strCache>
                <c:ptCount val="1"/>
                <c:pt idx="0">
                  <c:v>Unallocated</c:v>
                </c:pt>
              </c:strCache>
            </c:strRef>
          </c:tx>
          <c:spPr>
            <a:solidFill>
              <a:schemeClr val="accent4">
                <a:alpha val="85000"/>
              </a:schemeClr>
            </a:solidFill>
            <a:ln>
              <a:noFill/>
            </a:ln>
            <a:effectLst>
              <a:innerShdw dist="12700" dir="16200000">
                <a:schemeClr val="lt1"/>
              </a:innerShdw>
            </a:effectLst>
          </c:spPr>
          <c:cat>
            <c:numRef>
              <c:f>Chart!$A$5:$A$15</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Chart!$C$5:$C$15</c:f>
              <c:numCache>
                <c:formatCode>_("$"* #,##0_);_("$"* \(#,##0\);_("$"* "-"??_);_(@_)</c:formatCode>
                <c:ptCount val="11"/>
                <c:pt idx="0">
                  <c:v>1192129.1666666665</c:v>
                </c:pt>
                <c:pt idx="1">
                  <c:v>1192129.1666666665</c:v>
                </c:pt>
                <c:pt idx="2">
                  <c:v>1192129.1666666665</c:v>
                </c:pt>
                <c:pt idx="3">
                  <c:v>1192129.1666666665</c:v>
                </c:pt>
                <c:pt idx="4">
                  <c:v>1192129.1666666665</c:v>
                </c:pt>
                <c:pt idx="5">
                  <c:v>1192129.1666666665</c:v>
                </c:pt>
                <c:pt idx="6">
                  <c:v>1192129.1666666665</c:v>
                </c:pt>
                <c:pt idx="7">
                  <c:v>1192129.1666666665</c:v>
                </c:pt>
                <c:pt idx="8">
                  <c:v>1192129.1666666665</c:v>
                </c:pt>
                <c:pt idx="9">
                  <c:v>1192129.1666666665</c:v>
                </c:pt>
                <c:pt idx="10">
                  <c:v>1192129.1666666665</c:v>
                </c:pt>
              </c:numCache>
            </c:numRef>
          </c:val>
          <c:extLst>
            <c:ext xmlns:c16="http://schemas.microsoft.com/office/drawing/2014/chart" uri="{C3380CC4-5D6E-409C-BE32-E72D297353CC}">
              <c16:uniqueId val="{00000002-755D-44D2-AA2A-4D1608DCD24E}"/>
            </c:ext>
          </c:extLst>
        </c:ser>
        <c:ser>
          <c:idx val="3"/>
          <c:order val="2"/>
          <c:tx>
            <c:strRef>
              <c:f>Chart!$D$4</c:f>
              <c:strCache>
                <c:ptCount val="1"/>
                <c:pt idx="0">
                  <c:v>Distance</c:v>
                </c:pt>
              </c:strCache>
            </c:strRef>
          </c:tx>
          <c:spPr>
            <a:solidFill>
              <a:schemeClr val="accent6">
                <a:lumMod val="60000"/>
                <a:alpha val="85000"/>
              </a:schemeClr>
            </a:solidFill>
            <a:ln>
              <a:noFill/>
            </a:ln>
            <a:effectLst>
              <a:innerShdw dist="12700" dir="16200000">
                <a:schemeClr val="lt1"/>
              </a:innerShdw>
            </a:effectLst>
          </c:spPr>
          <c:cat>
            <c:numRef>
              <c:f>Chart!$A$5:$A$15</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Chart!$D$5:$D$15</c:f>
              <c:numCache>
                <c:formatCode>_("$"* #,##0_);_("$"* \(#,##0\);_("$"* "-"??_);_(@_)</c:formatCode>
                <c:ptCount val="11"/>
                <c:pt idx="0">
                  <c:v>611515.91666666674</c:v>
                </c:pt>
                <c:pt idx="1">
                  <c:v>712097.08295833366</c:v>
                </c:pt>
                <c:pt idx="2">
                  <c:v>863781.98822222254</c:v>
                </c:pt>
                <c:pt idx="3">
                  <c:v>1066570.6324583334</c:v>
                </c:pt>
                <c:pt idx="4">
                  <c:v>1320463.0156666669</c:v>
                </c:pt>
                <c:pt idx="5">
                  <c:v>1625459.1378472224</c:v>
                </c:pt>
                <c:pt idx="6">
                  <c:v>1981558.9990000003</c:v>
                </c:pt>
                <c:pt idx="7">
                  <c:v>2388762.5991250002</c:v>
                </c:pt>
                <c:pt idx="8">
                  <c:v>2847069.938222222</c:v>
                </c:pt>
                <c:pt idx="9">
                  <c:v>3356481.0162916672</c:v>
                </c:pt>
                <c:pt idx="10">
                  <c:v>3916995.8333333335</c:v>
                </c:pt>
              </c:numCache>
            </c:numRef>
          </c:val>
          <c:extLst>
            <c:ext xmlns:c16="http://schemas.microsoft.com/office/drawing/2014/chart" uri="{C3380CC4-5D6E-409C-BE32-E72D297353CC}">
              <c16:uniqueId val="{00000003-755D-44D2-AA2A-4D1608DCD24E}"/>
            </c:ext>
          </c:extLst>
        </c:ser>
        <c:dLbls>
          <c:showLegendKey val="0"/>
          <c:showVal val="0"/>
          <c:showCatName val="0"/>
          <c:showSerName val="0"/>
          <c:showPercent val="0"/>
          <c:showBubbleSize val="0"/>
        </c:dLbls>
        <c:axId val="234538360"/>
        <c:axId val="235753128"/>
      </c:areaChart>
      <c:catAx>
        <c:axId val="234538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35753128"/>
        <c:crosses val="autoZero"/>
        <c:auto val="1"/>
        <c:lblAlgn val="ctr"/>
        <c:lblOffset val="100"/>
        <c:noMultiLvlLbl val="0"/>
      </c:catAx>
      <c:valAx>
        <c:axId val="2357531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34538360"/>
        <c:crosses val="autoZero"/>
        <c:crossBetween val="midCat"/>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643786</xdr:colOff>
      <xdr:row>1</xdr:row>
      <xdr:rowOff>52389</xdr:rowOff>
    </xdr:from>
    <xdr:to>
      <xdr:col>2</xdr:col>
      <xdr:colOff>1199340</xdr:colOff>
      <xdr:row>1</xdr:row>
      <xdr:rowOff>674689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786" y="385764"/>
          <a:ext cx="3148259"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81523</xdr:colOff>
      <xdr:row>5</xdr:row>
      <xdr:rowOff>137583</xdr:rowOff>
    </xdr:from>
    <xdr:to>
      <xdr:col>25</xdr:col>
      <xdr:colOff>169334</xdr:colOff>
      <xdr:row>23</xdr:row>
      <xdr:rowOff>74084</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390526</xdr:colOff>
      <xdr:row>3</xdr:row>
      <xdr:rowOff>45242</xdr:rowOff>
    </xdr:from>
    <xdr:to>
      <xdr:col>19</xdr:col>
      <xdr:colOff>127000</xdr:colOff>
      <xdr:row>22</xdr:row>
      <xdr:rowOff>19050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D72"/>
  </sheetPr>
  <dimension ref="B1:I25"/>
  <sheetViews>
    <sheetView showGridLines="0" showRowColHeaders="0" tabSelected="1" workbookViewId="0">
      <selection activeCell="D4" sqref="D4"/>
    </sheetView>
  </sheetViews>
  <sheetFormatPr defaultColWidth="9.1796875" defaultRowHeight="14.5" x14ac:dyDescent="0.35"/>
  <cols>
    <col min="1" max="1" width="9.1796875" style="54"/>
    <col min="2" max="2" width="26.26953125" style="54" customWidth="1"/>
    <col min="3" max="3" width="30.81640625" style="54" customWidth="1"/>
    <col min="4" max="4" width="25.81640625" style="54" customWidth="1"/>
    <col min="5" max="5" width="18.26953125" style="54" customWidth="1"/>
    <col min="6" max="6" width="20.26953125" style="54" customWidth="1"/>
    <col min="7" max="7" width="9.1796875" style="54" customWidth="1"/>
    <col min="8" max="8" width="10.81640625" style="54" hidden="1" customWidth="1"/>
    <col min="9" max="9" width="9.81640625" style="54" hidden="1" customWidth="1"/>
    <col min="10" max="16384" width="9.1796875" style="54"/>
  </cols>
  <sheetData>
    <row r="1" spans="2:8" ht="26.5" customHeight="1" x14ac:dyDescent="0.35"/>
    <row r="2" spans="2:8" ht="56.65" customHeight="1" x14ac:dyDescent="0.35">
      <c r="B2" s="231"/>
      <c r="C2" s="232"/>
      <c r="D2" s="231"/>
      <c r="E2" s="482" t="s">
        <v>232</v>
      </c>
      <c r="F2" s="482"/>
      <c r="G2" s="233"/>
    </row>
    <row r="3" spans="2:8" x14ac:dyDescent="0.35">
      <c r="D3" s="234" t="s">
        <v>207</v>
      </c>
      <c r="F3" s="235"/>
    </row>
    <row r="4" spans="2:8" x14ac:dyDescent="0.35">
      <c r="C4" s="461" t="s">
        <v>118</v>
      </c>
      <c r="D4" s="462" t="s">
        <v>159</v>
      </c>
      <c r="E4" s="65"/>
      <c r="F4" s="483" t="str">
        <f>IF(D5 &lt; 1, "", IF(D5&lt;=2,"Grant PUD will not build new subs for under 3 MW",""))</f>
        <v/>
      </c>
    </row>
    <row r="5" spans="2:8" x14ac:dyDescent="0.35">
      <c r="C5" s="461" t="s">
        <v>111</v>
      </c>
      <c r="D5" s="470">
        <v>3</v>
      </c>
      <c r="E5" s="65"/>
      <c r="F5" s="483"/>
    </row>
    <row r="6" spans="2:8" x14ac:dyDescent="0.35">
      <c r="C6" s="461" t="str">
        <f>"Distance Substation to Site ("&amp;Max_Distribution_Distance&amp;" mile max)"</f>
        <v>Distance Substation to Site (5 mile max)</v>
      </c>
      <c r="D6" s="471">
        <v>0</v>
      </c>
      <c r="E6" s="65"/>
    </row>
    <row r="7" spans="2:8" x14ac:dyDescent="0.35">
      <c r="C7" s="472" t="s">
        <v>206</v>
      </c>
      <c r="D7" s="462" t="s">
        <v>291</v>
      </c>
    </row>
    <row r="8" spans="2:8" x14ac:dyDescent="0.35">
      <c r="C8" s="461" t="str">
        <f>"Distance T-line to Substation ("&amp;Max_Transmission_Distance&amp;" mile max)"</f>
        <v>Distance T-line to Substation (5 mile max)</v>
      </c>
      <c r="D8" s="471">
        <v>0</v>
      </c>
      <c r="E8" s="52"/>
    </row>
    <row r="9" spans="2:8" x14ac:dyDescent="0.35">
      <c r="B9" s="473"/>
      <c r="C9" s="461" t="s">
        <v>223</v>
      </c>
      <c r="D9" s="474"/>
      <c r="E9" s="219" t="str">
        <f>IF(AND(OR(Type_of_Expansion="Existing",Type_of_Expansion="New 2nd Lineup"),Length_of_Xmission&gt;0),"not need transmission upgrades","")</f>
        <v/>
      </c>
      <c r="F9" s="475"/>
      <c r="G9" s="236"/>
    </row>
    <row r="10" spans="2:8" x14ac:dyDescent="0.35">
      <c r="B10" s="473"/>
      <c r="C10" s="472"/>
      <c r="D10" s="476"/>
      <c r="E10" s="475"/>
      <c r="F10" s="475"/>
      <c r="G10" s="236"/>
    </row>
    <row r="11" spans="2:8" x14ac:dyDescent="0.35">
      <c r="B11" s="473"/>
      <c r="C11" s="473"/>
      <c r="D11" s="237"/>
      <c r="E11" s="475"/>
      <c r="F11" s="475"/>
      <c r="G11" s="236"/>
    </row>
    <row r="12" spans="2:8" x14ac:dyDescent="0.35">
      <c r="B12" s="477"/>
      <c r="C12" s="473"/>
      <c r="D12" s="56" t="str">
        <f>IF(D7="New 2nd Lineup", "Transmission Cost for Redundant only", "")</f>
        <v/>
      </c>
      <c r="E12" s="475"/>
      <c r="F12" s="475"/>
      <c r="G12" s="236"/>
    </row>
    <row r="13" spans="2:8" s="238" customFormat="1" ht="31" x14ac:dyDescent="0.35">
      <c r="B13" s="479" t="s">
        <v>59</v>
      </c>
      <c r="C13" s="479" t="s">
        <v>225</v>
      </c>
      <c r="D13" s="479" t="s">
        <v>297</v>
      </c>
      <c r="E13" s="479" t="s">
        <v>224</v>
      </c>
      <c r="F13" s="480" t="s">
        <v>110</v>
      </c>
    </row>
    <row r="14" spans="2:8" x14ac:dyDescent="0.35">
      <c r="B14" s="481">
        <f>IF(OR(Nomination&lt;3,Nomination&gt;20),"Nomination out of range        ",Substation_Component)</f>
        <v>466861.77500000002</v>
      </c>
      <c r="C14" s="481">
        <f>Distribution_Feeder</f>
        <v>0</v>
      </c>
      <c r="D14" s="481">
        <f>Transmission_Extension</f>
        <v>0</v>
      </c>
      <c r="E14" s="481">
        <f>Miscellaneous_Component</f>
        <v>0</v>
      </c>
      <c r="F14" s="478">
        <f>SUM(B14:E14)</f>
        <v>466861.77500000002</v>
      </c>
      <c r="H14" s="218"/>
    </row>
    <row r="15" spans="2:8" x14ac:dyDescent="0.35">
      <c r="F15" s="217" t="str">
        <f>"Customer Contribution estimate for adding "&amp;Nomination&amp;"MVA of load at "&amp;IF(Type_of_Expansion="New","a new ","an existing")&amp;" substation based on a "&amp;Transformer_Size&amp;" MVA transformer"</f>
        <v>Customer Contribution estimate for adding 3MVA of load at a new  substation based on a 41 MVA transformer</v>
      </c>
      <c r="G15" s="19"/>
    </row>
    <row r="16" spans="2:8" x14ac:dyDescent="0.35">
      <c r="C16" s="65"/>
      <c r="E16" s="66"/>
      <c r="F16" s="66"/>
      <c r="G16" s="239"/>
    </row>
    <row r="17" spans="2:6" x14ac:dyDescent="0.35">
      <c r="B17" s="67" t="s">
        <v>233</v>
      </c>
      <c r="C17" s="65"/>
      <c r="D17" s="66"/>
      <c r="E17" s="66"/>
      <c r="F17" s="66"/>
    </row>
    <row r="18" spans="2:6" x14ac:dyDescent="0.35">
      <c r="B18" s="65" t="s">
        <v>402</v>
      </c>
      <c r="D18" s="64"/>
      <c r="E18" s="64"/>
      <c r="F18" s="64"/>
    </row>
    <row r="19" spans="2:6" x14ac:dyDescent="0.35">
      <c r="B19" s="67" t="s">
        <v>403</v>
      </c>
    </row>
    <row r="20" spans="2:6" x14ac:dyDescent="0.35">
      <c r="B20" s="234"/>
    </row>
    <row r="21" spans="2:6" x14ac:dyDescent="0.35">
      <c r="B21" s="234"/>
    </row>
    <row r="22" spans="2:6" x14ac:dyDescent="0.35">
      <c r="B22" s="234"/>
    </row>
    <row r="23" spans="2:6" x14ac:dyDescent="0.35">
      <c r="B23" s="234"/>
    </row>
    <row r="24" spans="2:6" x14ac:dyDescent="0.35">
      <c r="B24" s="234"/>
    </row>
    <row r="25" spans="2:6" x14ac:dyDescent="0.35">
      <c r="B25" s="234"/>
    </row>
  </sheetData>
  <sheetProtection algorithmName="SHA-512" hashValue="bmozQTg9u9bUTpg9dg857XoCPZi/adLoAT/Zjjb6QbIvcn53nM2V3SQRGKb/p2fafGoibffO1sBJ6tUdngnmLQ==" saltValue="06CEBdd4Cpaxub72awwO7A==" spinCount="100000" sheet="1" objects="1" scenarios="1"/>
  <protectedRanges>
    <protectedRange sqref="D4:D9" name="Input" securityDescriptor="O:WDG:WDD:(A;;CC;;;WD)"/>
  </protectedRanges>
  <customSheetViews>
    <customSheetView guid="{19F84062-18A1-42AB-A9E0-86A9327249B7}" showGridLines="0" hiddenColumns="1">
      <selection activeCell="D4" sqref="D4"/>
      <pageMargins left="0.7" right="0.7" top="0.75" bottom="0.75" header="0.3" footer="0.3"/>
      <pageSetup orientation="portrait" horizontalDpi="1200" verticalDpi="1200" r:id="rId1"/>
    </customSheetView>
    <customSheetView guid="{B72BCD0A-2298-4E08-A3B0-236EC70E50BB}" hiddenColumns="1">
      <selection sqref="A1:E9"/>
      <pageMargins left="0.7" right="0.7" top="0.75" bottom="0.75" header="0.3" footer="0.3"/>
      <pageSetup orientation="portrait" horizontalDpi="1200" verticalDpi="1200" r:id="rId2"/>
    </customSheetView>
  </customSheetViews>
  <mergeCells count="2">
    <mergeCell ref="E2:F2"/>
    <mergeCell ref="F4:F5"/>
  </mergeCells>
  <dataValidations xWindow="711" yWindow="370" count="5">
    <dataValidation type="list" allowBlank="1" showErrorMessage="1" promptTitle="Type of Expansion" prompt=" " sqref="D7" xr:uid="{00000000-0002-0000-0000-000000000000}">
      <formula1>Substation_Type</formula1>
    </dataValidation>
    <dataValidation type="list" errorStyle="information" operator="lessThanOrEqual" showErrorMessage="1" errorTitle="Nomination Request" error="Please select from the drop down." promptTitle="Requested MVA" prompt="Whole MVA_x000a_    3 - 20" sqref="D5" xr:uid="{00000000-0002-0000-0000-000001000000}">
      <formula1>IF(Distribution_Type="Overhead",OH_Sizes,Allowed_Sizes)</formula1>
    </dataValidation>
    <dataValidation type="list" allowBlank="1" showErrorMessage="1" promptTitle="Distance to Substation     " prompt="   0.5 Mile Increments_x000a_      up to 5 .0 Miles" sqref="D6" xr:uid="{00000000-0002-0000-0000-000002000000}">
      <formula1>Distance</formula1>
    </dataValidation>
    <dataValidation type="list" allowBlank="1" showErrorMessage="1" promptTitle="Distance to Transmission" prompt="   0.5 Mile Increments_x000a_      up to 5 .0 Miles" sqref="D8" xr:uid="{00000000-0002-0000-0000-000003000000}">
      <formula1>Distance</formula1>
    </dataValidation>
    <dataValidation type="list" errorStyle="warning" allowBlank="1" showInputMessage="1" showErrorMessage="1" sqref="D4" xr:uid="{00000000-0002-0000-0000-000004000000}">
      <formula1>Type</formula1>
    </dataValidation>
  </dataValidations>
  <pageMargins left="0.7" right="0.7" top="0.75" bottom="0.75" header="0.3" footer="0.3"/>
  <pageSetup fitToHeight="0" orientation="landscape" horizontalDpi="1200" verticalDpi="1200"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O25"/>
  <sheetViews>
    <sheetView workbookViewId="0"/>
  </sheetViews>
  <sheetFormatPr defaultRowHeight="14.5" x14ac:dyDescent="0.35"/>
  <cols>
    <col min="1" max="1" width="12.1796875" customWidth="1"/>
    <col min="2" max="2" width="35" customWidth="1"/>
    <col min="3" max="4" width="18" customWidth="1"/>
    <col min="5" max="5" width="11" customWidth="1"/>
    <col min="6" max="6" width="10.453125" customWidth="1"/>
    <col min="7" max="7" width="12.81640625" customWidth="1"/>
    <col min="8" max="8" width="13.453125" bestFit="1" customWidth="1"/>
    <col min="9" max="9" width="11.453125" customWidth="1"/>
    <col min="10" max="10" width="13.54296875" customWidth="1"/>
    <col min="13" max="13" width="14.453125" customWidth="1"/>
    <col min="14" max="14" width="11.54296875" customWidth="1"/>
    <col min="15" max="15" width="12.1796875" customWidth="1"/>
  </cols>
  <sheetData>
    <row r="1" spans="1:15" ht="15.5" x14ac:dyDescent="0.35">
      <c r="A1" s="6" t="s">
        <v>7</v>
      </c>
      <c r="B1" s="4" t="s">
        <v>1</v>
      </c>
      <c r="C1" s="5" t="s">
        <v>2</v>
      </c>
      <c r="D1" s="5" t="s">
        <v>15</v>
      </c>
      <c r="E1" s="53" t="s">
        <v>46</v>
      </c>
      <c r="G1" s="488" t="s">
        <v>44</v>
      </c>
      <c r="H1" s="488"/>
      <c r="I1" s="488"/>
      <c r="J1" s="488"/>
      <c r="L1" s="488" t="s">
        <v>23</v>
      </c>
      <c r="M1" s="488"/>
      <c r="N1" s="488"/>
      <c r="O1" s="488"/>
    </row>
    <row r="2" spans="1:15" x14ac:dyDescent="0.35">
      <c r="A2" s="9">
        <v>25</v>
      </c>
      <c r="B2" s="7" t="s">
        <v>3</v>
      </c>
      <c r="C2" s="8">
        <v>4724518.1096064001</v>
      </c>
      <c r="D2" s="16">
        <f>C2/A2</f>
        <v>188980.724384256</v>
      </c>
      <c r="E2">
        <v>20</v>
      </c>
      <c r="G2" s="3" t="s">
        <v>14</v>
      </c>
      <c r="H2" s="3" t="s">
        <v>10</v>
      </c>
      <c r="I2" s="3" t="s">
        <v>11</v>
      </c>
      <c r="J2" s="3" t="s">
        <v>12</v>
      </c>
      <c r="L2" s="3" t="s">
        <v>14</v>
      </c>
      <c r="M2" s="3" t="s">
        <v>10</v>
      </c>
      <c r="N2" s="3" t="s">
        <v>11</v>
      </c>
      <c r="O2" s="3" t="s">
        <v>12</v>
      </c>
    </row>
    <row r="3" spans="1:15" x14ac:dyDescent="0.35">
      <c r="A3" s="11">
        <v>50</v>
      </c>
      <c r="B3" s="10" t="s">
        <v>4</v>
      </c>
      <c r="C3" s="1">
        <v>7086468.9659904009</v>
      </c>
      <c r="D3" s="17">
        <f>(C3-C2)/A2</f>
        <v>94478.034255360035</v>
      </c>
      <c r="E3">
        <v>20</v>
      </c>
      <c r="G3" s="3">
        <v>0.5</v>
      </c>
      <c r="H3" s="21">
        <v>0</v>
      </c>
      <c r="I3" s="21">
        <v>0</v>
      </c>
      <c r="J3" s="21">
        <v>0</v>
      </c>
      <c r="L3" s="3">
        <v>0.5</v>
      </c>
      <c r="M3" s="21">
        <v>0</v>
      </c>
      <c r="N3" s="21">
        <v>0</v>
      </c>
      <c r="O3" s="21">
        <v>0</v>
      </c>
    </row>
    <row r="4" spans="1:15" x14ac:dyDescent="0.35">
      <c r="A4" s="12">
        <v>41</v>
      </c>
      <c r="B4" s="7" t="s">
        <v>5</v>
      </c>
      <c r="C4" s="8">
        <v>5327323.5986880008</v>
      </c>
      <c r="D4" s="16">
        <f>C4/A4</f>
        <v>129934.72191921953</v>
      </c>
      <c r="E4">
        <v>40</v>
      </c>
      <c r="G4" s="3">
        <v>1</v>
      </c>
      <c r="H4" s="21">
        <v>0</v>
      </c>
      <c r="I4" s="21">
        <v>0</v>
      </c>
      <c r="J4" s="21">
        <v>0</v>
      </c>
      <c r="L4" s="3">
        <v>1</v>
      </c>
      <c r="M4" s="21">
        <v>0</v>
      </c>
      <c r="N4" s="21">
        <v>0</v>
      </c>
      <c r="O4" s="21">
        <v>0</v>
      </c>
    </row>
    <row r="5" spans="1:15" x14ac:dyDescent="0.35">
      <c r="A5" s="11">
        <v>82</v>
      </c>
      <c r="B5" s="10" t="s">
        <v>6</v>
      </c>
      <c r="C5" s="1">
        <v>8252159.2749119997</v>
      </c>
      <c r="D5" s="17">
        <f>(C5-C4)/A4</f>
        <v>71337.455517658513</v>
      </c>
      <c r="E5">
        <v>40</v>
      </c>
      <c r="G5" s="3">
        <v>1.5</v>
      </c>
      <c r="H5" s="21">
        <v>0</v>
      </c>
      <c r="I5" s="21">
        <v>0</v>
      </c>
      <c r="J5" s="21">
        <v>0</v>
      </c>
      <c r="L5" s="3">
        <v>1.5</v>
      </c>
      <c r="M5" s="21">
        <v>0</v>
      </c>
      <c r="N5" s="21">
        <v>0</v>
      </c>
      <c r="O5" s="21">
        <v>0</v>
      </c>
    </row>
    <row r="6" spans="1:15" x14ac:dyDescent="0.35">
      <c r="A6" s="15" t="s">
        <v>20</v>
      </c>
      <c r="B6" s="13" t="s">
        <v>13</v>
      </c>
      <c r="C6" s="14">
        <v>71357.75</v>
      </c>
      <c r="D6" s="16">
        <f>C6/2</f>
        <v>35678.875</v>
      </c>
      <c r="G6" s="3">
        <v>2</v>
      </c>
      <c r="H6" s="40" t="e">
        <f>($G$24-G6)/$E$15*(($G$24-G6)*$D$12)</f>
        <v>#REF!</v>
      </c>
      <c r="I6" s="40" t="e">
        <f>($G$24-G6)/$E$16*(($G$24-G6)*$D$12)</f>
        <v>#REF!</v>
      </c>
      <c r="J6" s="40" t="e">
        <f>($G$24-G6)/$E$17*(($G$24-G6)*$D$12)</f>
        <v>#REF!</v>
      </c>
      <c r="L6" s="3">
        <v>2</v>
      </c>
      <c r="M6" s="40" t="e">
        <f t="shared" ref="M6:M24" si="0">($G$24-L6)*$D$15*$D$12</f>
        <v>#REF!</v>
      </c>
      <c r="N6" s="40" t="e">
        <f>($G$24-L6)*$D$16*$D$12</f>
        <v>#REF!</v>
      </c>
      <c r="O6" s="40" t="e">
        <f>($G$24-L6)*$D$17*$D$12</f>
        <v>#REF!</v>
      </c>
    </row>
    <row r="7" spans="1:15" x14ac:dyDescent="0.35">
      <c r="G7" s="3">
        <v>3</v>
      </c>
      <c r="H7" s="40" t="e">
        <f t="shared" ref="H7:H23" si="1">($G$24-G7)/$E$15*(($G$24-G7)*$D$12)</f>
        <v>#REF!</v>
      </c>
      <c r="I7" s="40" t="e">
        <f t="shared" ref="I7:I23" si="2">($G$24-G7)/$E$16*(($G$24-G7)*$D$12)</f>
        <v>#REF!</v>
      </c>
      <c r="J7" s="40" t="e">
        <f t="shared" ref="J7:J23" si="3">($G$24-G7)/$E$17*(($G$24-G7)*$D$12)</f>
        <v>#REF!</v>
      </c>
      <c r="L7" s="3">
        <v>3</v>
      </c>
      <c r="M7" s="40" t="e">
        <f t="shared" si="0"/>
        <v>#REF!</v>
      </c>
      <c r="N7" s="40" t="e">
        <f t="shared" ref="N7:N24" si="4">($G$24-L7)*$D$16*$D$12</f>
        <v>#REF!</v>
      </c>
      <c r="O7" s="40" t="e">
        <f t="shared" ref="O7:O24" si="5">($G$24-L7)*$D$17*$D$12</f>
        <v>#REF!</v>
      </c>
    </row>
    <row r="8" spans="1:15" x14ac:dyDescent="0.35">
      <c r="C8" t="s">
        <v>21</v>
      </c>
      <c r="G8" s="3">
        <v>4</v>
      </c>
      <c r="H8" s="40" t="e">
        <f t="shared" si="1"/>
        <v>#REF!</v>
      </c>
      <c r="I8" s="40" t="e">
        <f t="shared" si="2"/>
        <v>#REF!</v>
      </c>
      <c r="J8" s="40" t="e">
        <f t="shared" si="3"/>
        <v>#REF!</v>
      </c>
      <c r="L8" s="3">
        <v>4</v>
      </c>
      <c r="M8" s="40" t="e">
        <f t="shared" si="0"/>
        <v>#REF!</v>
      </c>
      <c r="N8" s="40" t="e">
        <f t="shared" si="4"/>
        <v>#REF!</v>
      </c>
      <c r="O8" s="40" t="e">
        <f t="shared" si="5"/>
        <v>#REF!</v>
      </c>
    </row>
    <row r="9" spans="1:15" x14ac:dyDescent="0.35">
      <c r="G9" s="3">
        <v>5</v>
      </c>
      <c r="H9" s="40" t="e">
        <f>(($G$24-G9)/$E$15)*(($G$24-G9)*$D$12)</f>
        <v>#REF!</v>
      </c>
      <c r="I9" s="40" t="e">
        <f t="shared" si="2"/>
        <v>#REF!</v>
      </c>
      <c r="J9" s="40" t="e">
        <f t="shared" si="3"/>
        <v>#REF!</v>
      </c>
      <c r="L9" s="3">
        <v>5</v>
      </c>
      <c r="M9" s="40" t="e">
        <f t="shared" si="0"/>
        <v>#REF!</v>
      </c>
      <c r="N9" s="40" t="e">
        <f t="shared" si="4"/>
        <v>#REF!</v>
      </c>
      <c r="O9" s="40" t="e">
        <f t="shared" si="5"/>
        <v>#REF!</v>
      </c>
    </row>
    <row r="10" spans="1:15" x14ac:dyDescent="0.35">
      <c r="G10" s="3">
        <v>6</v>
      </c>
      <c r="H10" s="40" t="e">
        <f>(($G$24-G10)/$E$15)*(($G$24-G10)*$D$12)</f>
        <v>#REF!</v>
      </c>
      <c r="I10" s="40" t="e">
        <f t="shared" si="2"/>
        <v>#REF!</v>
      </c>
      <c r="J10" s="40" t="e">
        <f t="shared" si="3"/>
        <v>#REF!</v>
      </c>
      <c r="L10" s="3">
        <v>6</v>
      </c>
      <c r="M10" s="40" t="e">
        <f t="shared" si="0"/>
        <v>#REF!</v>
      </c>
      <c r="N10" s="40" t="e">
        <f t="shared" si="4"/>
        <v>#REF!</v>
      </c>
      <c r="O10" s="40" t="e">
        <f t="shared" si="5"/>
        <v>#REF!</v>
      </c>
    </row>
    <row r="11" spans="1:15" x14ac:dyDescent="0.35">
      <c r="C11" t="s">
        <v>28</v>
      </c>
      <c r="G11" s="3">
        <v>7</v>
      </c>
      <c r="H11" s="40" t="e">
        <f t="shared" si="1"/>
        <v>#REF!</v>
      </c>
      <c r="I11" s="40" t="e">
        <f t="shared" si="2"/>
        <v>#REF!</v>
      </c>
      <c r="J11" s="40" t="e">
        <f t="shared" si="3"/>
        <v>#REF!</v>
      </c>
      <c r="L11" s="3">
        <v>7</v>
      </c>
      <c r="M11" s="40" t="e">
        <f t="shared" si="0"/>
        <v>#REF!</v>
      </c>
      <c r="N11" s="40" t="e">
        <f t="shared" si="4"/>
        <v>#REF!</v>
      </c>
      <c r="O11" s="40" t="e">
        <f t="shared" si="5"/>
        <v>#REF!</v>
      </c>
    </row>
    <row r="12" spans="1:15" x14ac:dyDescent="0.35">
      <c r="C12" s="39" t="s">
        <v>32</v>
      </c>
      <c r="D12" s="38">
        <v>10200</v>
      </c>
      <c r="G12" s="3">
        <v>8</v>
      </c>
      <c r="H12" s="40" t="e">
        <f t="shared" si="1"/>
        <v>#REF!</v>
      </c>
      <c r="I12" s="40" t="e">
        <f t="shared" si="2"/>
        <v>#REF!</v>
      </c>
      <c r="J12" s="40" t="e">
        <f t="shared" si="3"/>
        <v>#REF!</v>
      </c>
      <c r="L12" s="3">
        <v>8</v>
      </c>
      <c r="M12" s="40" t="e">
        <f t="shared" si="0"/>
        <v>#REF!</v>
      </c>
      <c r="N12" s="40" t="e">
        <f t="shared" si="4"/>
        <v>#REF!</v>
      </c>
      <c r="O12" s="40" t="e">
        <f t="shared" si="5"/>
        <v>#REF!</v>
      </c>
    </row>
    <row r="13" spans="1:15" x14ac:dyDescent="0.35">
      <c r="G13" s="3">
        <v>9</v>
      </c>
      <c r="H13" s="40" t="e">
        <f t="shared" si="1"/>
        <v>#REF!</v>
      </c>
      <c r="I13" s="40" t="e">
        <f t="shared" si="2"/>
        <v>#REF!</v>
      </c>
      <c r="J13" s="40" t="e">
        <f t="shared" si="3"/>
        <v>#REF!</v>
      </c>
      <c r="L13" s="3">
        <v>9</v>
      </c>
      <c r="M13" s="40" t="e">
        <f t="shared" si="0"/>
        <v>#REF!</v>
      </c>
      <c r="N13" s="40" t="e">
        <f t="shared" si="4"/>
        <v>#REF!</v>
      </c>
      <c r="O13" s="40" t="e">
        <f t="shared" si="5"/>
        <v>#REF!</v>
      </c>
    </row>
    <row r="14" spans="1:15" x14ac:dyDescent="0.35">
      <c r="D14" s="43" t="s">
        <v>45</v>
      </c>
      <c r="E14" s="52" t="s">
        <v>43</v>
      </c>
      <c r="G14" s="3">
        <v>10</v>
      </c>
      <c r="H14" s="40" t="e">
        <f t="shared" si="1"/>
        <v>#REF!</v>
      </c>
      <c r="I14" s="40" t="e">
        <f t="shared" si="2"/>
        <v>#REF!</v>
      </c>
      <c r="J14" s="40" t="e">
        <f t="shared" si="3"/>
        <v>#REF!</v>
      </c>
      <c r="L14" s="3">
        <v>10</v>
      </c>
      <c r="M14" s="40" t="e">
        <f t="shared" si="0"/>
        <v>#REF!</v>
      </c>
      <c r="N14" s="40" t="e">
        <f t="shared" si="4"/>
        <v>#REF!</v>
      </c>
      <c r="O14" s="40" t="e">
        <f t="shared" si="5"/>
        <v>#REF!</v>
      </c>
    </row>
    <row r="15" spans="1:15" x14ac:dyDescent="0.35">
      <c r="C15" s="42" t="s">
        <v>10</v>
      </c>
      <c r="D15" s="2">
        <v>25</v>
      </c>
      <c r="E15" t="e">
        <f>$G$24/D15</f>
        <v>#REF!</v>
      </c>
      <c r="G15" s="3">
        <v>11</v>
      </c>
      <c r="H15" s="40" t="e">
        <f t="shared" si="1"/>
        <v>#REF!</v>
      </c>
      <c r="I15" s="40" t="e">
        <f t="shared" si="2"/>
        <v>#REF!</v>
      </c>
      <c r="J15" s="40" t="e">
        <f t="shared" si="3"/>
        <v>#REF!</v>
      </c>
      <c r="L15" s="3">
        <v>11</v>
      </c>
      <c r="M15" s="40" t="e">
        <f t="shared" si="0"/>
        <v>#REF!</v>
      </c>
      <c r="N15" s="40" t="e">
        <f t="shared" si="4"/>
        <v>#REF!</v>
      </c>
      <c r="O15" s="40" t="e">
        <f t="shared" si="5"/>
        <v>#REF!</v>
      </c>
    </row>
    <row r="16" spans="1:15" x14ac:dyDescent="0.35">
      <c r="C16" s="42" t="s">
        <v>11</v>
      </c>
      <c r="D16" s="2">
        <v>15</v>
      </c>
      <c r="E16" t="e">
        <f>$G$24/D16</f>
        <v>#REF!</v>
      </c>
      <c r="G16" s="3">
        <v>12</v>
      </c>
      <c r="H16" s="40" t="e">
        <f t="shared" si="1"/>
        <v>#REF!</v>
      </c>
      <c r="I16" s="40" t="e">
        <f t="shared" si="2"/>
        <v>#REF!</v>
      </c>
      <c r="J16" s="40" t="e">
        <f t="shared" si="3"/>
        <v>#REF!</v>
      </c>
      <c r="L16" s="3">
        <v>12</v>
      </c>
      <c r="M16" s="40" t="e">
        <f t="shared" si="0"/>
        <v>#REF!</v>
      </c>
      <c r="N16" s="40" t="e">
        <f t="shared" si="4"/>
        <v>#REF!</v>
      </c>
      <c r="O16" s="40" t="e">
        <f t="shared" si="5"/>
        <v>#REF!</v>
      </c>
    </row>
    <row r="17" spans="3:15" x14ac:dyDescent="0.35">
      <c r="C17" s="42" t="s">
        <v>12</v>
      </c>
      <c r="D17" s="2">
        <v>7</v>
      </c>
      <c r="E17" t="e">
        <f>$G$24/D17</f>
        <v>#REF!</v>
      </c>
      <c r="G17" s="3">
        <v>13</v>
      </c>
      <c r="H17" s="40" t="e">
        <f t="shared" si="1"/>
        <v>#REF!</v>
      </c>
      <c r="I17" s="40" t="e">
        <f t="shared" si="2"/>
        <v>#REF!</v>
      </c>
      <c r="J17" s="40" t="e">
        <f t="shared" si="3"/>
        <v>#REF!</v>
      </c>
      <c r="L17" s="3">
        <v>13</v>
      </c>
      <c r="M17" s="40" t="e">
        <f t="shared" si="0"/>
        <v>#REF!</v>
      </c>
      <c r="N17" s="40" t="e">
        <f t="shared" si="4"/>
        <v>#REF!</v>
      </c>
      <c r="O17" s="40" t="e">
        <f t="shared" si="5"/>
        <v>#REF!</v>
      </c>
    </row>
    <row r="18" spans="3:15" x14ac:dyDescent="0.35">
      <c r="G18" s="3">
        <v>14</v>
      </c>
      <c r="H18" s="40" t="e">
        <f t="shared" si="1"/>
        <v>#REF!</v>
      </c>
      <c r="I18" s="40" t="e">
        <f t="shared" si="2"/>
        <v>#REF!</v>
      </c>
      <c r="J18" s="40" t="e">
        <f t="shared" si="3"/>
        <v>#REF!</v>
      </c>
      <c r="L18" s="3">
        <v>14</v>
      </c>
      <c r="M18" s="40" t="e">
        <f t="shared" si="0"/>
        <v>#REF!</v>
      </c>
      <c r="N18" s="40" t="e">
        <f t="shared" si="4"/>
        <v>#REF!</v>
      </c>
      <c r="O18" s="40" t="e">
        <f t="shared" si="5"/>
        <v>#REF!</v>
      </c>
    </row>
    <row r="19" spans="3:15" x14ac:dyDescent="0.35">
      <c r="G19" s="3">
        <v>15</v>
      </c>
      <c r="H19" s="40" t="e">
        <f t="shared" si="1"/>
        <v>#REF!</v>
      </c>
      <c r="I19" s="40" t="e">
        <f t="shared" si="2"/>
        <v>#REF!</v>
      </c>
      <c r="J19" s="40" t="e">
        <f t="shared" si="3"/>
        <v>#REF!</v>
      </c>
      <c r="L19" s="3">
        <v>15</v>
      </c>
      <c r="M19" s="40" t="e">
        <f t="shared" si="0"/>
        <v>#REF!</v>
      </c>
      <c r="N19" s="40" t="e">
        <f t="shared" si="4"/>
        <v>#REF!</v>
      </c>
      <c r="O19" s="40" t="e">
        <f t="shared" si="5"/>
        <v>#REF!</v>
      </c>
    </row>
    <row r="20" spans="3:15" x14ac:dyDescent="0.35">
      <c r="G20" s="3">
        <v>16</v>
      </c>
      <c r="H20" s="40" t="e">
        <f t="shared" si="1"/>
        <v>#REF!</v>
      </c>
      <c r="I20" s="40" t="e">
        <f t="shared" si="2"/>
        <v>#REF!</v>
      </c>
      <c r="J20" s="40" t="e">
        <f t="shared" si="3"/>
        <v>#REF!</v>
      </c>
      <c r="L20" s="3">
        <v>16</v>
      </c>
      <c r="M20" s="40" t="e">
        <f t="shared" si="0"/>
        <v>#REF!</v>
      </c>
      <c r="N20" s="40" t="e">
        <f t="shared" si="4"/>
        <v>#REF!</v>
      </c>
      <c r="O20" s="40" t="e">
        <f t="shared" si="5"/>
        <v>#REF!</v>
      </c>
    </row>
    <row r="21" spans="3:15" x14ac:dyDescent="0.35">
      <c r="G21" s="3">
        <v>17</v>
      </c>
      <c r="H21" s="40" t="e">
        <f t="shared" si="1"/>
        <v>#REF!</v>
      </c>
      <c r="I21" s="40" t="e">
        <f t="shared" si="2"/>
        <v>#REF!</v>
      </c>
      <c r="J21" s="40" t="e">
        <f t="shared" si="3"/>
        <v>#REF!</v>
      </c>
      <c r="L21" s="3">
        <v>17</v>
      </c>
      <c r="M21" s="40" t="e">
        <f t="shared" si="0"/>
        <v>#REF!</v>
      </c>
      <c r="N21" s="40" t="e">
        <f t="shared" si="4"/>
        <v>#REF!</v>
      </c>
      <c r="O21" s="40" t="e">
        <f t="shared" si="5"/>
        <v>#REF!</v>
      </c>
    </row>
    <row r="22" spans="3:15" x14ac:dyDescent="0.35">
      <c r="G22" s="3">
        <v>18</v>
      </c>
      <c r="H22" s="40" t="e">
        <f t="shared" si="1"/>
        <v>#REF!</v>
      </c>
      <c r="I22" s="40" t="e">
        <f t="shared" si="2"/>
        <v>#REF!</v>
      </c>
      <c r="J22" s="40" t="e">
        <f t="shared" si="3"/>
        <v>#REF!</v>
      </c>
      <c r="L22" s="3">
        <v>18</v>
      </c>
      <c r="M22" s="40" t="e">
        <f t="shared" si="0"/>
        <v>#REF!</v>
      </c>
      <c r="N22" s="40" t="e">
        <f t="shared" si="4"/>
        <v>#REF!</v>
      </c>
      <c r="O22" s="40" t="e">
        <f t="shared" si="5"/>
        <v>#REF!</v>
      </c>
    </row>
    <row r="23" spans="3:15" x14ac:dyDescent="0.35">
      <c r="G23" s="3">
        <v>19</v>
      </c>
      <c r="H23" s="40" t="e">
        <f t="shared" si="1"/>
        <v>#REF!</v>
      </c>
      <c r="I23" s="40" t="e">
        <f t="shared" si="2"/>
        <v>#REF!</v>
      </c>
      <c r="J23" s="40" t="e">
        <f t="shared" si="3"/>
        <v>#REF!</v>
      </c>
      <c r="L23" s="3">
        <v>19</v>
      </c>
      <c r="M23" s="40" t="e">
        <f t="shared" si="0"/>
        <v>#REF!</v>
      </c>
      <c r="N23" s="40" t="e">
        <f t="shared" si="4"/>
        <v>#REF!</v>
      </c>
      <c r="O23" s="40" t="e">
        <f t="shared" si="5"/>
        <v>#REF!</v>
      </c>
    </row>
    <row r="24" spans="3:15" x14ac:dyDescent="0.35">
      <c r="G24" s="3" t="e">
        <f>Calculator!#REF!</f>
        <v>#REF!</v>
      </c>
      <c r="H24" s="40" t="e">
        <f>($G$24-G24)*$D$15*$D$12</f>
        <v>#REF!</v>
      </c>
      <c r="I24" s="40" t="e">
        <f>($G$24-G24)*$D$16*$D$12</f>
        <v>#REF!</v>
      </c>
      <c r="J24" s="40" t="e">
        <f>($G$24-G24)*$D$17*$D$12</f>
        <v>#REF!</v>
      </c>
      <c r="L24" s="3">
        <v>20</v>
      </c>
      <c r="M24" s="40" t="e">
        <f t="shared" si="0"/>
        <v>#REF!</v>
      </c>
      <c r="N24" s="40" t="e">
        <f t="shared" si="4"/>
        <v>#REF!</v>
      </c>
      <c r="O24" s="40" t="e">
        <f t="shared" si="5"/>
        <v>#REF!</v>
      </c>
    </row>
    <row r="25" spans="3:15" x14ac:dyDescent="0.35">
      <c r="H25">
        <v>2</v>
      </c>
      <c r="I25">
        <v>3</v>
      </c>
      <c r="J25">
        <v>4</v>
      </c>
      <c r="M25">
        <v>2</v>
      </c>
      <c r="N25">
        <v>3</v>
      </c>
      <c r="O25">
        <v>4</v>
      </c>
    </row>
  </sheetData>
  <customSheetViews>
    <customSheetView guid="{19F84062-18A1-42AB-A9E0-86A9327249B7}" state="hidden">
      <selection activeCell="E10" sqref="E10"/>
      <pageMargins left="0.7" right="0.7" top="0.75" bottom="0.75" header="0.3" footer="0.3"/>
      <pageSetup orientation="portrait" horizontalDpi="1200" verticalDpi="1200" r:id="rId1"/>
    </customSheetView>
    <customSheetView guid="{B72BCD0A-2298-4E08-A3B0-236EC70E50BB}" state="hidden">
      <selection activeCell="E10" sqref="E10"/>
      <pageMargins left="0.7" right="0.7" top="0.75" bottom="0.75" header="0.3" footer="0.3"/>
      <pageSetup orientation="portrait" horizontalDpi="1200" verticalDpi="1200" r:id="rId2"/>
    </customSheetView>
  </customSheetViews>
  <mergeCells count="2">
    <mergeCell ref="G1:J1"/>
    <mergeCell ref="L1:O1"/>
  </mergeCells>
  <pageMargins left="0.7" right="0.7" top="0.75" bottom="0.75" header="0.3" footer="0.3"/>
  <pageSetup orientation="portrait" horizontalDpi="1200" verticalDpi="1200"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0000"/>
  </sheetPr>
  <dimension ref="A1:F10"/>
  <sheetViews>
    <sheetView workbookViewId="0">
      <selection sqref="A1:E1"/>
    </sheetView>
  </sheetViews>
  <sheetFormatPr defaultRowHeight="14.5" x14ac:dyDescent="0.35"/>
  <cols>
    <col min="1" max="1" width="9" customWidth="1"/>
    <col min="2" max="2" width="19.54296875" customWidth="1"/>
    <col min="3" max="3" width="19.26953125" customWidth="1"/>
    <col min="4" max="4" width="15.453125" customWidth="1"/>
    <col min="5" max="5" width="18" customWidth="1"/>
  </cols>
  <sheetData>
    <row r="1" spans="1:6" ht="26" x14ac:dyDescent="0.6">
      <c r="A1" s="489" t="s">
        <v>31</v>
      </c>
      <c r="B1" s="489"/>
      <c r="C1" s="489"/>
      <c r="D1" s="489"/>
      <c r="E1" s="489"/>
    </row>
    <row r="2" spans="1:6" ht="18.5" x14ac:dyDescent="0.45">
      <c r="A2" s="29"/>
      <c r="B2" s="29"/>
      <c r="C2" s="29"/>
      <c r="D2" s="29"/>
      <c r="E2" s="29"/>
    </row>
    <row r="3" spans="1:6" ht="18.5" x14ac:dyDescent="0.45">
      <c r="A3" s="29"/>
      <c r="B3" s="30" t="s">
        <v>0</v>
      </c>
      <c r="C3" s="31">
        <v>25</v>
      </c>
      <c r="D3" s="29"/>
      <c r="E3" s="29"/>
    </row>
    <row r="4" spans="1:6" ht="18.5" x14ac:dyDescent="0.45">
      <c r="A4" s="29"/>
      <c r="B4" s="30" t="s">
        <v>8</v>
      </c>
      <c r="C4" s="31">
        <v>5</v>
      </c>
      <c r="D4" s="29"/>
      <c r="E4" s="29"/>
    </row>
    <row r="5" spans="1:6" ht="18.5" x14ac:dyDescent="0.45">
      <c r="A5" s="29"/>
      <c r="B5" s="30" t="s">
        <v>9</v>
      </c>
      <c r="C5" s="31" t="s">
        <v>11</v>
      </c>
      <c r="D5" s="29"/>
      <c r="E5" s="29"/>
    </row>
    <row r="6" spans="1:6" ht="18.5" x14ac:dyDescent="0.45">
      <c r="A6" s="29"/>
      <c r="B6" s="30" t="s">
        <v>29</v>
      </c>
      <c r="C6" s="31" t="s">
        <v>30</v>
      </c>
      <c r="D6" s="29"/>
      <c r="E6" s="29"/>
    </row>
    <row r="7" spans="1:6" ht="18.5" x14ac:dyDescent="0.45">
      <c r="A7" s="29"/>
      <c r="B7" s="29"/>
      <c r="C7" s="29"/>
      <c r="D7" s="32">
        <f>HLOOKUP(C5,'Data Opt2'!H2:J25,24,)</f>
        <v>3</v>
      </c>
      <c r="E7" s="29"/>
      <c r="F7" s="18"/>
    </row>
    <row r="8" spans="1:6" ht="55.5" x14ac:dyDescent="0.35">
      <c r="A8" s="33" t="s">
        <v>16</v>
      </c>
      <c r="B8" s="33" t="s">
        <v>17</v>
      </c>
      <c r="C8" s="33" t="s">
        <v>18</v>
      </c>
      <c r="D8" s="33" t="s">
        <v>19</v>
      </c>
      <c r="E8" s="33" t="s">
        <v>22</v>
      </c>
    </row>
    <row r="9" spans="1:6" ht="19" thickBot="1" x14ac:dyDescent="0.5">
      <c r="A9" s="34">
        <f>C4</f>
        <v>5</v>
      </c>
      <c r="B9" s="35">
        <f>VLOOKUP(C3,'Data Opt2'!A2:'Data Opt2'!D6,4,)</f>
        <v>188980.724384256</v>
      </c>
      <c r="C9" s="35">
        <f>B9*A9</f>
        <v>944903.62192127993</v>
      </c>
      <c r="D9" s="36">
        <f>IF(C6="YES", VLOOKUP(A9,'Data Opt2'!G3:J24,D7,), 0)</f>
        <v>0.8</v>
      </c>
      <c r="E9" s="37">
        <f>C9+(C9*D9)</f>
        <v>1700826.5194583039</v>
      </c>
    </row>
    <row r="10" spans="1:6" x14ac:dyDescent="0.35">
      <c r="A10" s="20"/>
      <c r="E10" s="19"/>
    </row>
  </sheetData>
  <customSheetViews>
    <customSheetView guid="{19F84062-18A1-42AB-A9E0-86A9327249B7}" state="hidden">
      <selection activeCell="E14" sqref="E14"/>
      <pageMargins left="0.7" right="0.7" top="0.75" bottom="0.75" header="0.3" footer="0.3"/>
    </customSheetView>
    <customSheetView guid="{B72BCD0A-2298-4E08-A3B0-236EC70E50BB}" state="hidden">
      <selection activeCell="E14" sqref="E14"/>
      <pageMargins left="0.7" right="0.7" top="0.75" bottom="0.75" header="0.3" footer="0.3"/>
    </customSheetView>
  </customSheetViews>
  <mergeCells count="1">
    <mergeCell ref="A1:E1"/>
  </mergeCells>
  <dataValidations count="1">
    <dataValidation type="list" allowBlank="1" showInputMessage="1" showErrorMessage="1" sqref="C6" xr:uid="{00000000-0002-0000-0A00-000000000000}">
      <formula1>"Yes, No"</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'Data Opt2'!$H$2:$J$2</xm:f>
          </x14:formula1>
          <xm:sqref>C5</xm:sqref>
        </x14:dataValidation>
        <x14:dataValidation type="list" allowBlank="1" showInputMessage="1" showErrorMessage="1" xr:uid="{00000000-0002-0000-0A00-000002000000}">
          <x14:formula1>
            <xm:f>'Data Opt2'!$A$2:$A$6</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0000"/>
  </sheetPr>
  <dimension ref="A1:J28"/>
  <sheetViews>
    <sheetView workbookViewId="0"/>
  </sheetViews>
  <sheetFormatPr defaultRowHeight="14.5" x14ac:dyDescent="0.35"/>
  <cols>
    <col min="1" max="1" width="12.1796875" customWidth="1"/>
    <col min="2" max="2" width="35" customWidth="1"/>
    <col min="3" max="4" width="18" customWidth="1"/>
    <col min="7" max="7" width="12.81640625" customWidth="1"/>
  </cols>
  <sheetData>
    <row r="1" spans="1:10" ht="15.5" x14ac:dyDescent="0.35">
      <c r="A1" s="6" t="s">
        <v>7</v>
      </c>
      <c r="B1" s="4" t="s">
        <v>1</v>
      </c>
      <c r="C1" s="5" t="s">
        <v>2</v>
      </c>
      <c r="D1" s="5" t="s">
        <v>15</v>
      </c>
      <c r="G1" s="488" t="s">
        <v>23</v>
      </c>
      <c r="H1" s="488"/>
      <c r="I1" s="488"/>
      <c r="J1" s="488"/>
    </row>
    <row r="2" spans="1:10" x14ac:dyDescent="0.35">
      <c r="A2" s="9">
        <v>25</v>
      </c>
      <c r="B2" s="7" t="s">
        <v>3</v>
      </c>
      <c r="C2" s="8">
        <v>4724518.1096064001</v>
      </c>
      <c r="D2" s="16">
        <f>C2/A2</f>
        <v>188980.724384256</v>
      </c>
      <c r="G2" s="3" t="s">
        <v>14</v>
      </c>
      <c r="H2" s="3" t="s">
        <v>10</v>
      </c>
      <c r="I2" s="3" t="s">
        <v>11</v>
      </c>
      <c r="J2" s="3" t="s">
        <v>12</v>
      </c>
    </row>
    <row r="3" spans="1:10" x14ac:dyDescent="0.35">
      <c r="A3" s="11">
        <v>50</v>
      </c>
      <c r="B3" s="10" t="s">
        <v>4</v>
      </c>
      <c r="C3" s="1">
        <v>7086468.9659904009</v>
      </c>
      <c r="D3" s="17">
        <f>C3/A3</f>
        <v>141729.37931980801</v>
      </c>
      <c r="G3" s="3">
        <v>0.5</v>
      </c>
      <c r="H3" s="21">
        <v>0</v>
      </c>
      <c r="I3" s="21">
        <v>0</v>
      </c>
      <c r="J3" s="21">
        <v>0</v>
      </c>
    </row>
    <row r="4" spans="1:10" x14ac:dyDescent="0.35">
      <c r="A4" s="12">
        <v>41</v>
      </c>
      <c r="B4" s="7" t="s">
        <v>5</v>
      </c>
      <c r="C4" s="8">
        <v>5327323.5986880008</v>
      </c>
      <c r="D4" s="16">
        <f>C4/A4</f>
        <v>129934.72191921953</v>
      </c>
      <c r="G4" s="3">
        <v>1</v>
      </c>
      <c r="H4" s="21">
        <v>0</v>
      </c>
      <c r="I4" s="21">
        <v>0</v>
      </c>
      <c r="J4" s="21">
        <v>0</v>
      </c>
    </row>
    <row r="5" spans="1:10" x14ac:dyDescent="0.35">
      <c r="A5" s="11">
        <v>82</v>
      </c>
      <c r="B5" s="10" t="s">
        <v>6</v>
      </c>
      <c r="C5" s="1">
        <v>8252159.2749119997</v>
      </c>
      <c r="D5" s="17">
        <f>C5/A5</f>
        <v>100636.08871843902</v>
      </c>
      <c r="G5" s="3">
        <v>1.5</v>
      </c>
      <c r="H5" s="21">
        <v>0</v>
      </c>
      <c r="I5" s="21">
        <v>0</v>
      </c>
      <c r="J5" s="21">
        <v>0</v>
      </c>
    </row>
    <row r="6" spans="1:10" x14ac:dyDescent="0.35">
      <c r="A6" s="15" t="s">
        <v>20</v>
      </c>
      <c r="B6" s="13" t="s">
        <v>13</v>
      </c>
      <c r="C6" s="14">
        <v>71357.75</v>
      </c>
      <c r="D6" s="16">
        <f>C6/2</f>
        <v>35678.875</v>
      </c>
      <c r="G6" s="3">
        <v>2</v>
      </c>
      <c r="H6" s="23">
        <v>1.1000000000000001</v>
      </c>
      <c r="I6" s="24">
        <v>0.8</v>
      </c>
      <c r="J6" s="24">
        <v>0.4</v>
      </c>
    </row>
    <row r="7" spans="1:10" x14ac:dyDescent="0.35">
      <c r="G7" s="3">
        <v>3</v>
      </c>
      <c r="H7" s="23">
        <v>1.1000000000000001</v>
      </c>
      <c r="I7" s="24">
        <v>0.8</v>
      </c>
      <c r="J7" s="24">
        <v>0.4</v>
      </c>
    </row>
    <row r="8" spans="1:10" x14ac:dyDescent="0.35">
      <c r="C8" t="s">
        <v>21</v>
      </c>
      <c r="G8" s="3">
        <v>4</v>
      </c>
      <c r="H8" s="23">
        <v>1.1000000000000001</v>
      </c>
      <c r="I8" s="24">
        <v>0.8</v>
      </c>
      <c r="J8" s="24">
        <v>0.4</v>
      </c>
    </row>
    <row r="9" spans="1:10" x14ac:dyDescent="0.35">
      <c r="G9" s="3">
        <v>5</v>
      </c>
      <c r="H9" s="23">
        <v>1.1000000000000001</v>
      </c>
      <c r="I9" s="24">
        <v>0.8</v>
      </c>
      <c r="J9" s="24">
        <v>0.4</v>
      </c>
    </row>
    <row r="10" spans="1:10" x14ac:dyDescent="0.35">
      <c r="G10" s="3">
        <v>6</v>
      </c>
      <c r="H10" s="27">
        <v>0.9</v>
      </c>
      <c r="I10" s="28">
        <v>0.6</v>
      </c>
      <c r="J10" s="28">
        <v>0.3</v>
      </c>
    </row>
    <row r="11" spans="1:10" x14ac:dyDescent="0.35">
      <c r="G11" s="3">
        <v>7</v>
      </c>
      <c r="H11" s="27">
        <v>0.9</v>
      </c>
      <c r="I11" s="28">
        <v>0.6</v>
      </c>
      <c r="J11" s="28">
        <v>0.3</v>
      </c>
    </row>
    <row r="12" spans="1:10" x14ac:dyDescent="0.35">
      <c r="G12" s="3">
        <v>8</v>
      </c>
      <c r="H12" s="27">
        <v>0.9</v>
      </c>
      <c r="I12" s="28">
        <v>0.6</v>
      </c>
      <c r="J12" s="28">
        <v>0.3</v>
      </c>
    </row>
    <row r="13" spans="1:10" x14ac:dyDescent="0.35">
      <c r="G13" s="3">
        <v>9</v>
      </c>
      <c r="H13" s="27">
        <v>0.9</v>
      </c>
      <c r="I13" s="28">
        <v>0.6</v>
      </c>
      <c r="J13" s="28">
        <v>0.3</v>
      </c>
    </row>
    <row r="14" spans="1:10" x14ac:dyDescent="0.35">
      <c r="G14" s="3">
        <v>10</v>
      </c>
      <c r="H14" s="27">
        <v>0.9</v>
      </c>
      <c r="I14" s="28">
        <v>0.6</v>
      </c>
      <c r="J14" s="28">
        <v>0.3</v>
      </c>
    </row>
    <row r="15" spans="1:10" x14ac:dyDescent="0.35">
      <c r="G15" s="3">
        <v>11</v>
      </c>
      <c r="H15" s="21">
        <v>0.6</v>
      </c>
      <c r="I15" s="22">
        <v>0.4</v>
      </c>
      <c r="J15" s="22">
        <v>0.2</v>
      </c>
    </row>
    <row r="16" spans="1:10" x14ac:dyDescent="0.35">
      <c r="G16" s="3">
        <v>12</v>
      </c>
      <c r="H16" s="21">
        <v>0.6</v>
      </c>
      <c r="I16" s="22">
        <v>0.4</v>
      </c>
      <c r="J16" s="22">
        <v>0.2</v>
      </c>
    </row>
    <row r="17" spans="7:10" x14ac:dyDescent="0.35">
      <c r="G17" s="3">
        <v>13</v>
      </c>
      <c r="H17" s="21">
        <v>0.6</v>
      </c>
      <c r="I17" s="22">
        <v>0.4</v>
      </c>
      <c r="J17" s="22">
        <v>0.2</v>
      </c>
    </row>
    <row r="18" spans="7:10" x14ac:dyDescent="0.35">
      <c r="G18" s="3">
        <v>14</v>
      </c>
      <c r="H18" s="21">
        <v>0.6</v>
      </c>
      <c r="I18" s="22">
        <v>0.4</v>
      </c>
      <c r="J18" s="22">
        <v>0.2</v>
      </c>
    </row>
    <row r="19" spans="7:10" x14ac:dyDescent="0.35">
      <c r="G19" s="3">
        <v>15</v>
      </c>
      <c r="H19" s="21">
        <v>0.6</v>
      </c>
      <c r="I19" s="22">
        <v>0.4</v>
      </c>
      <c r="J19" s="22">
        <v>0.2</v>
      </c>
    </row>
    <row r="20" spans="7:10" x14ac:dyDescent="0.35">
      <c r="G20" s="3">
        <v>16</v>
      </c>
      <c r="H20" s="25">
        <v>0.3</v>
      </c>
      <c r="I20" s="26">
        <v>0.2</v>
      </c>
      <c r="J20" s="26">
        <v>0.1</v>
      </c>
    </row>
    <row r="21" spans="7:10" x14ac:dyDescent="0.35">
      <c r="G21" s="3">
        <v>17</v>
      </c>
      <c r="H21" s="25">
        <v>0.3</v>
      </c>
      <c r="I21" s="26">
        <v>0.2</v>
      </c>
      <c r="J21" s="26">
        <v>0.1</v>
      </c>
    </row>
    <row r="22" spans="7:10" x14ac:dyDescent="0.35">
      <c r="G22" s="3">
        <v>18</v>
      </c>
      <c r="H22" s="25">
        <v>0.3</v>
      </c>
      <c r="I22" s="26">
        <v>0.2</v>
      </c>
      <c r="J22" s="26">
        <v>0.1</v>
      </c>
    </row>
    <row r="23" spans="7:10" x14ac:dyDescent="0.35">
      <c r="G23" s="3">
        <v>19</v>
      </c>
      <c r="H23" s="25">
        <v>0.3</v>
      </c>
      <c r="I23" s="26">
        <v>0.2</v>
      </c>
      <c r="J23" s="26">
        <v>0.1</v>
      </c>
    </row>
    <row r="24" spans="7:10" x14ac:dyDescent="0.35">
      <c r="G24" s="3">
        <v>20</v>
      </c>
      <c r="H24" s="25">
        <v>0.3</v>
      </c>
      <c r="I24" s="26">
        <v>0.2</v>
      </c>
      <c r="J24" s="26">
        <v>0.1</v>
      </c>
    </row>
    <row r="25" spans="7:10" x14ac:dyDescent="0.35">
      <c r="H25">
        <v>2</v>
      </c>
      <c r="I25">
        <v>3</v>
      </c>
      <c r="J25">
        <v>4</v>
      </c>
    </row>
    <row r="27" spans="7:10" x14ac:dyDescent="0.35">
      <c r="H27" t="s">
        <v>26</v>
      </c>
      <c r="I27" t="s">
        <v>25</v>
      </c>
      <c r="J27" t="s">
        <v>27</v>
      </c>
    </row>
    <row r="28" spans="7:10" x14ac:dyDescent="0.35">
      <c r="G28" t="s">
        <v>24</v>
      </c>
    </row>
  </sheetData>
  <customSheetViews>
    <customSheetView guid="{19F84062-18A1-42AB-A9E0-86A9327249B7}" state="hidden">
      <selection activeCell="E14" sqref="E14"/>
      <pageMargins left="0.7" right="0.7" top="0.75" bottom="0.75" header="0.3" footer="0.3"/>
    </customSheetView>
    <customSheetView guid="{B72BCD0A-2298-4E08-A3B0-236EC70E50BB}" state="hidden">
      <selection activeCell="E14" sqref="E14"/>
      <pageMargins left="0.7" right="0.7" top="0.75" bottom="0.75" header="0.3" footer="0.3"/>
    </customSheetView>
  </customSheetViews>
  <mergeCells count="1">
    <mergeCell ref="G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C000"/>
  </sheetPr>
  <dimension ref="A1:F16"/>
  <sheetViews>
    <sheetView workbookViewId="0">
      <selection sqref="A1:E1"/>
    </sheetView>
  </sheetViews>
  <sheetFormatPr defaultRowHeight="14.5" x14ac:dyDescent="0.35"/>
  <cols>
    <col min="1" max="1" width="9" customWidth="1"/>
    <col min="2" max="2" width="21.54296875" customWidth="1"/>
    <col min="3" max="3" width="21" customWidth="1"/>
    <col min="4" max="4" width="18.1796875" customWidth="1"/>
    <col min="5" max="5" width="21.26953125" customWidth="1"/>
  </cols>
  <sheetData>
    <row r="1" spans="1:6" ht="22.9" customHeight="1" x14ac:dyDescent="0.6">
      <c r="A1" s="489" t="s">
        <v>34</v>
      </c>
      <c r="B1" s="489"/>
      <c r="C1" s="489"/>
      <c r="D1" s="489"/>
      <c r="E1" s="489"/>
    </row>
    <row r="2" spans="1:6" ht="18.5" x14ac:dyDescent="0.45">
      <c r="A2" s="29"/>
      <c r="B2" s="29"/>
      <c r="C2" s="29"/>
      <c r="D2" s="29"/>
      <c r="E2" s="29"/>
    </row>
    <row r="3" spans="1:6" ht="18.5" x14ac:dyDescent="0.45">
      <c r="A3" s="29"/>
      <c r="B3" s="30" t="s">
        <v>0</v>
      </c>
      <c r="C3" s="31">
        <v>82</v>
      </c>
      <c r="D3" s="29"/>
      <c r="E3" s="29"/>
    </row>
    <row r="4" spans="1:6" ht="18.5" x14ac:dyDescent="0.45">
      <c r="A4" s="29"/>
      <c r="B4" s="30" t="s">
        <v>8</v>
      </c>
      <c r="C4" s="31">
        <v>15</v>
      </c>
      <c r="D4" s="29"/>
      <c r="E4" s="29"/>
    </row>
    <row r="5" spans="1:6" ht="18.5" x14ac:dyDescent="0.45">
      <c r="A5" s="29"/>
      <c r="B5" s="30" t="s">
        <v>9</v>
      </c>
      <c r="C5" s="31" t="s">
        <v>12</v>
      </c>
      <c r="D5" s="29"/>
      <c r="E5" s="29"/>
    </row>
    <row r="6" spans="1:6" ht="18.5" x14ac:dyDescent="0.45">
      <c r="A6" s="29"/>
      <c r="B6" s="30" t="s">
        <v>29</v>
      </c>
      <c r="C6" s="31" t="s">
        <v>30</v>
      </c>
      <c r="D6" s="29"/>
      <c r="E6" s="29"/>
    </row>
    <row r="7" spans="1:6" ht="18.5" x14ac:dyDescent="0.45">
      <c r="A7" s="29"/>
      <c r="B7" s="29"/>
      <c r="C7" s="48"/>
      <c r="D7" s="48">
        <f>HLOOKUP(C5,Data_NPV!H1:M25,25,)</f>
        <v>7</v>
      </c>
      <c r="E7" s="29"/>
    </row>
    <row r="8" spans="1:6" ht="55.5" x14ac:dyDescent="0.35">
      <c r="A8" s="33" t="s">
        <v>16</v>
      </c>
      <c r="B8" s="33" t="s">
        <v>17</v>
      </c>
      <c r="C8" s="33" t="s">
        <v>18</v>
      </c>
      <c r="D8" s="33" t="s">
        <v>36</v>
      </c>
      <c r="E8" s="33" t="s">
        <v>22</v>
      </c>
      <c r="F8" s="18"/>
    </row>
    <row r="9" spans="1:6" ht="19" thickBot="1" x14ac:dyDescent="0.5">
      <c r="A9" s="34">
        <f>C4</f>
        <v>15</v>
      </c>
      <c r="B9" s="35">
        <f>VLOOKUP(C3,Data_NPV!A2:'Data_NPV'!D6,4,)</f>
        <v>100636.08871843902</v>
      </c>
      <c r="C9" s="35">
        <f>B9*A9</f>
        <v>1509541.3307765853</v>
      </c>
      <c r="D9" s="41">
        <f>IF(C6= "YES", VLOOKUP(A9,Data_NPV!G3:M24,D7,), 0)</f>
        <v>306000</v>
      </c>
      <c r="E9" s="37">
        <f>C9+D9</f>
        <v>1815541.3307765853</v>
      </c>
    </row>
    <row r="10" spans="1:6" x14ac:dyDescent="0.35">
      <c r="A10" s="20"/>
      <c r="E10" s="19"/>
    </row>
    <row r="12" spans="1:6" x14ac:dyDescent="0.35">
      <c r="A12" t="s">
        <v>33</v>
      </c>
    </row>
    <row r="14" spans="1:6" ht="18.5" x14ac:dyDescent="0.45">
      <c r="A14" t="s">
        <v>41</v>
      </c>
    </row>
    <row r="16" spans="1:6" x14ac:dyDescent="0.35">
      <c r="A16" t="s">
        <v>35</v>
      </c>
    </row>
  </sheetData>
  <customSheetViews>
    <customSheetView guid="{19F84062-18A1-42AB-A9E0-86A9327249B7}" state="hidden">
      <selection activeCell="E14" sqref="E14"/>
      <pageMargins left="0.7" right="0.7" top="0.75" bottom="0.75" header="0.3" footer="0.3"/>
      <pageSetup orientation="portrait" horizontalDpi="1200" verticalDpi="1200" r:id="rId1"/>
    </customSheetView>
    <customSheetView guid="{B72BCD0A-2298-4E08-A3B0-236EC70E50BB}" state="hidden">
      <selection activeCell="E14" sqref="E14"/>
      <pageMargins left="0.7" right="0.7" top="0.75" bottom="0.75" header="0.3" footer="0.3"/>
      <pageSetup orientation="portrait" horizontalDpi="1200" verticalDpi="1200" r:id="rId2"/>
    </customSheetView>
  </customSheetViews>
  <mergeCells count="1">
    <mergeCell ref="A1:E1"/>
  </mergeCells>
  <dataValidations count="1">
    <dataValidation type="list" allowBlank="1" showInputMessage="1" showErrorMessage="1" sqref="C6" xr:uid="{00000000-0002-0000-0C00-000000000000}">
      <formula1>"Yes, No"</formula1>
    </dataValidation>
  </dataValidations>
  <pageMargins left="0.7" right="0.7" top="0.75" bottom="0.75" header="0.3" footer="0.3"/>
  <pageSetup orientation="portrait" horizontalDpi="1200" verticalDpi="1200"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'Data Opt2'!$H$2:$J$2</xm:f>
          </x14:formula1>
          <xm:sqref>C5</xm:sqref>
        </x14:dataValidation>
        <x14:dataValidation type="list" allowBlank="1" showInputMessage="1" showErrorMessage="1" xr:uid="{00000000-0002-0000-0C00-000002000000}">
          <x14:formula1>
            <xm:f>'Data Opt2'!$A$2:$A$6</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C000"/>
  </sheetPr>
  <dimension ref="A1:M27"/>
  <sheetViews>
    <sheetView workbookViewId="0"/>
  </sheetViews>
  <sheetFormatPr defaultRowHeight="14.5" x14ac:dyDescent="0.35"/>
  <cols>
    <col min="1" max="1" width="12.1796875" customWidth="1"/>
    <col min="2" max="2" width="35" customWidth="1"/>
    <col min="3" max="4" width="18" customWidth="1"/>
    <col min="7" max="7" width="12.81640625" customWidth="1"/>
    <col min="8" max="8" width="13.1796875" customWidth="1"/>
    <col min="9" max="9" width="12.81640625" bestFit="1" customWidth="1"/>
    <col min="10" max="10" width="12.1796875" customWidth="1"/>
    <col min="11" max="11" width="14" customWidth="1"/>
    <col min="12" max="12" width="16.54296875" customWidth="1"/>
    <col min="13" max="13" width="18.453125" customWidth="1"/>
  </cols>
  <sheetData>
    <row r="1" spans="1:13" ht="15.5" x14ac:dyDescent="0.35">
      <c r="A1" s="6" t="s">
        <v>7</v>
      </c>
      <c r="B1" s="4" t="s">
        <v>1</v>
      </c>
      <c r="C1" s="5" t="s">
        <v>2</v>
      </c>
      <c r="D1" s="5" t="s">
        <v>15</v>
      </c>
      <c r="H1" s="49" t="s">
        <v>11</v>
      </c>
      <c r="I1" s="50"/>
      <c r="J1" s="49" t="s">
        <v>10</v>
      </c>
      <c r="K1" s="50"/>
      <c r="L1" s="49" t="s">
        <v>12</v>
      </c>
      <c r="M1" s="50"/>
    </row>
    <row r="2" spans="1:13" x14ac:dyDescent="0.35">
      <c r="A2" s="9">
        <v>25</v>
      </c>
      <c r="B2" s="7" t="s">
        <v>3</v>
      </c>
      <c r="C2" s="8">
        <v>4724518.1096064001</v>
      </c>
      <c r="D2" s="16">
        <f>C2/A2</f>
        <v>188980.724384256</v>
      </c>
      <c r="G2" s="3" t="s">
        <v>14</v>
      </c>
      <c r="H2" s="45" t="s">
        <v>37</v>
      </c>
      <c r="I2" s="46" t="s">
        <v>39</v>
      </c>
      <c r="J2" s="45" t="s">
        <v>37</v>
      </c>
      <c r="K2" s="46" t="s">
        <v>40</v>
      </c>
      <c r="L2" s="45" t="s">
        <v>37</v>
      </c>
      <c r="M2" s="46" t="s">
        <v>42</v>
      </c>
    </row>
    <row r="3" spans="1:13" x14ac:dyDescent="0.35">
      <c r="A3" s="11">
        <v>50</v>
      </c>
      <c r="B3" s="10" t="s">
        <v>4</v>
      </c>
      <c r="C3" s="1">
        <v>7086468.9659904009</v>
      </c>
      <c r="D3" s="17">
        <f>C3/A3</f>
        <v>141729.37931980801</v>
      </c>
      <c r="G3" s="3">
        <v>0.5</v>
      </c>
      <c r="H3" s="21"/>
      <c r="I3" s="46"/>
      <c r="J3" s="21"/>
      <c r="K3" s="46"/>
      <c r="L3" s="21"/>
      <c r="M3" s="46"/>
    </row>
    <row r="4" spans="1:13" x14ac:dyDescent="0.35">
      <c r="A4" s="12">
        <v>41</v>
      </c>
      <c r="B4" s="7" t="s">
        <v>5</v>
      </c>
      <c r="C4" s="8">
        <v>5327323.5986880008</v>
      </c>
      <c r="D4" s="16">
        <f>C4/A4</f>
        <v>129934.72191921953</v>
      </c>
      <c r="G4" s="3">
        <v>1</v>
      </c>
      <c r="H4" s="21"/>
      <c r="I4" s="46"/>
      <c r="J4" s="21"/>
      <c r="K4" s="46"/>
      <c r="L4" s="21"/>
      <c r="M4" s="46"/>
    </row>
    <row r="5" spans="1:13" x14ac:dyDescent="0.35">
      <c r="A5" s="11">
        <v>82</v>
      </c>
      <c r="B5" s="10" t="s">
        <v>6</v>
      </c>
      <c r="C5" s="1">
        <v>8252159.2749119997</v>
      </c>
      <c r="D5" s="17">
        <f>C5/A5</f>
        <v>100636.08871843902</v>
      </c>
      <c r="G5" s="3">
        <v>1.5</v>
      </c>
      <c r="H5" s="21"/>
      <c r="I5" s="46"/>
      <c r="J5" s="21"/>
      <c r="K5" s="46"/>
      <c r="L5" s="21"/>
      <c r="M5" s="46"/>
    </row>
    <row r="6" spans="1:13" x14ac:dyDescent="0.35">
      <c r="A6" s="15" t="s">
        <v>20</v>
      </c>
      <c r="B6" s="13" t="s">
        <v>13</v>
      </c>
      <c r="C6" s="14">
        <v>71357.75</v>
      </c>
      <c r="D6" s="16">
        <f>C6/2</f>
        <v>35678.875</v>
      </c>
      <c r="G6" s="3">
        <v>2</v>
      </c>
      <c r="H6" s="44">
        <v>13</v>
      </c>
      <c r="I6" s="47">
        <f>H6*($D$12*(20-G6))</f>
        <v>2386800</v>
      </c>
      <c r="J6" s="44">
        <v>18</v>
      </c>
      <c r="K6" s="47">
        <f>J6*($D$12*(20-$G6))</f>
        <v>3304800</v>
      </c>
      <c r="L6" s="44">
        <v>10</v>
      </c>
      <c r="M6" s="47">
        <f>L6*($D$12*(20-$G6))</f>
        <v>1836000</v>
      </c>
    </row>
    <row r="7" spans="1:13" x14ac:dyDescent="0.35">
      <c r="G7" s="3">
        <v>3</v>
      </c>
      <c r="H7" s="44">
        <v>13</v>
      </c>
      <c r="I7" s="47">
        <f t="shared" ref="I7:I24" si="0">H7*($D$12*(20-G7))</f>
        <v>2254200</v>
      </c>
      <c r="J7" s="44">
        <v>17</v>
      </c>
      <c r="K7" s="47">
        <f t="shared" ref="K7:K24" si="1">J7*($D$12*(20-$G7))</f>
        <v>2947800</v>
      </c>
      <c r="L7" s="44">
        <v>10</v>
      </c>
      <c r="M7" s="47">
        <f t="shared" ref="M7:M24" si="2">L7*($D$12*(20-$G7))</f>
        <v>1734000</v>
      </c>
    </row>
    <row r="8" spans="1:13" x14ac:dyDescent="0.35">
      <c r="C8" t="s">
        <v>21</v>
      </c>
      <c r="G8" s="3">
        <v>4</v>
      </c>
      <c r="H8" s="44">
        <v>13</v>
      </c>
      <c r="I8" s="47">
        <f t="shared" si="0"/>
        <v>2121600</v>
      </c>
      <c r="J8" s="44">
        <v>16</v>
      </c>
      <c r="K8" s="47">
        <f t="shared" si="1"/>
        <v>2611200</v>
      </c>
      <c r="L8" s="44">
        <v>9</v>
      </c>
      <c r="M8" s="47">
        <f t="shared" si="2"/>
        <v>1468800</v>
      </c>
    </row>
    <row r="9" spans="1:13" x14ac:dyDescent="0.35">
      <c r="G9" s="3">
        <v>5</v>
      </c>
      <c r="H9" s="44">
        <v>12</v>
      </c>
      <c r="I9" s="47">
        <f t="shared" si="0"/>
        <v>1836000</v>
      </c>
      <c r="J9" s="44">
        <v>16</v>
      </c>
      <c r="K9" s="47">
        <f t="shared" si="1"/>
        <v>2448000</v>
      </c>
      <c r="L9" s="44">
        <v>9</v>
      </c>
      <c r="M9" s="47">
        <f t="shared" si="2"/>
        <v>1377000</v>
      </c>
    </row>
    <row r="10" spans="1:13" x14ac:dyDescent="0.35">
      <c r="G10" s="3">
        <v>6</v>
      </c>
      <c r="H10" s="44">
        <v>12</v>
      </c>
      <c r="I10" s="47">
        <f t="shared" si="0"/>
        <v>1713600</v>
      </c>
      <c r="J10" s="44">
        <v>14</v>
      </c>
      <c r="K10" s="47">
        <f t="shared" si="1"/>
        <v>1999200</v>
      </c>
      <c r="L10" s="44">
        <v>9</v>
      </c>
      <c r="M10" s="47">
        <f t="shared" si="2"/>
        <v>1285200</v>
      </c>
    </row>
    <row r="11" spans="1:13" x14ac:dyDescent="0.35">
      <c r="C11" t="s">
        <v>28</v>
      </c>
      <c r="G11" s="3">
        <v>7</v>
      </c>
      <c r="H11" s="44">
        <v>12</v>
      </c>
      <c r="I11" s="47">
        <f t="shared" si="0"/>
        <v>1591200</v>
      </c>
      <c r="J11" s="44">
        <v>14</v>
      </c>
      <c r="K11" s="47">
        <f t="shared" si="1"/>
        <v>1856400</v>
      </c>
      <c r="L11" s="44">
        <v>9</v>
      </c>
      <c r="M11" s="47">
        <f t="shared" si="2"/>
        <v>1193400</v>
      </c>
    </row>
    <row r="12" spans="1:13" x14ac:dyDescent="0.35">
      <c r="C12" s="39" t="s">
        <v>32</v>
      </c>
      <c r="D12" s="38">
        <v>10200</v>
      </c>
      <c r="G12" s="3">
        <v>8</v>
      </c>
      <c r="H12" s="44">
        <v>10</v>
      </c>
      <c r="I12" s="47">
        <f t="shared" si="0"/>
        <v>1224000</v>
      </c>
      <c r="J12" s="44">
        <v>13</v>
      </c>
      <c r="K12" s="47">
        <f t="shared" si="1"/>
        <v>1591200</v>
      </c>
      <c r="L12" s="44">
        <v>9</v>
      </c>
      <c r="M12" s="47">
        <f t="shared" si="2"/>
        <v>1101600</v>
      </c>
    </row>
    <row r="13" spans="1:13" x14ac:dyDescent="0.35">
      <c r="G13" s="3">
        <v>9</v>
      </c>
      <c r="H13" s="44">
        <v>10</v>
      </c>
      <c r="I13" s="47">
        <f t="shared" si="0"/>
        <v>1122000</v>
      </c>
      <c r="J13" s="44">
        <v>13</v>
      </c>
      <c r="K13" s="47">
        <f t="shared" si="1"/>
        <v>1458600</v>
      </c>
      <c r="L13" s="44">
        <v>9</v>
      </c>
      <c r="M13" s="47">
        <f t="shared" si="2"/>
        <v>1009800</v>
      </c>
    </row>
    <row r="14" spans="1:13" x14ac:dyDescent="0.35">
      <c r="D14" s="43"/>
      <c r="G14" s="3">
        <v>10</v>
      </c>
      <c r="H14" s="44">
        <v>9</v>
      </c>
      <c r="I14" s="47">
        <f t="shared" si="0"/>
        <v>918000</v>
      </c>
      <c r="J14" s="44">
        <v>13</v>
      </c>
      <c r="K14" s="47">
        <f t="shared" si="1"/>
        <v>1326000</v>
      </c>
      <c r="L14" s="44">
        <v>8</v>
      </c>
      <c r="M14" s="47">
        <f t="shared" si="2"/>
        <v>816000</v>
      </c>
    </row>
    <row r="15" spans="1:13" x14ac:dyDescent="0.35">
      <c r="C15" s="42"/>
      <c r="D15" s="2"/>
      <c r="G15" s="3">
        <v>11</v>
      </c>
      <c r="H15" s="44">
        <v>9</v>
      </c>
      <c r="I15" s="47">
        <f t="shared" si="0"/>
        <v>826200</v>
      </c>
      <c r="J15" s="44">
        <v>12</v>
      </c>
      <c r="K15" s="47">
        <f t="shared" si="1"/>
        <v>1101600</v>
      </c>
      <c r="L15" s="44">
        <v>8</v>
      </c>
      <c r="M15" s="47">
        <f t="shared" si="2"/>
        <v>734400</v>
      </c>
    </row>
    <row r="16" spans="1:13" x14ac:dyDescent="0.35">
      <c r="C16" s="42"/>
      <c r="D16" s="2"/>
      <c r="G16" s="3">
        <v>12</v>
      </c>
      <c r="H16" s="44">
        <v>9</v>
      </c>
      <c r="I16" s="47">
        <f t="shared" si="0"/>
        <v>734400</v>
      </c>
      <c r="J16" s="44">
        <v>12</v>
      </c>
      <c r="K16" s="47">
        <f t="shared" si="1"/>
        <v>979200</v>
      </c>
      <c r="L16" s="44">
        <v>8</v>
      </c>
      <c r="M16" s="47">
        <f t="shared" si="2"/>
        <v>652800</v>
      </c>
    </row>
    <row r="17" spans="3:13" x14ac:dyDescent="0.35">
      <c r="C17" s="42"/>
      <c r="D17" s="2"/>
      <c r="G17" s="3">
        <v>13</v>
      </c>
      <c r="H17" s="44">
        <v>9</v>
      </c>
      <c r="I17" s="47">
        <f t="shared" si="0"/>
        <v>642600</v>
      </c>
      <c r="J17" s="44">
        <v>10</v>
      </c>
      <c r="K17" s="47">
        <f t="shared" si="1"/>
        <v>714000</v>
      </c>
      <c r="L17" s="44">
        <v>8</v>
      </c>
      <c r="M17" s="47">
        <f t="shared" si="2"/>
        <v>571200</v>
      </c>
    </row>
    <row r="18" spans="3:13" x14ac:dyDescent="0.35">
      <c r="G18" s="3">
        <v>14</v>
      </c>
      <c r="H18" s="44">
        <v>8</v>
      </c>
      <c r="I18" s="47">
        <f t="shared" si="0"/>
        <v>489600</v>
      </c>
      <c r="J18" s="44">
        <v>9</v>
      </c>
      <c r="K18" s="47">
        <f t="shared" si="1"/>
        <v>550800</v>
      </c>
      <c r="L18" s="44">
        <v>6</v>
      </c>
      <c r="M18" s="47">
        <f t="shared" si="2"/>
        <v>367200</v>
      </c>
    </row>
    <row r="19" spans="3:13" x14ac:dyDescent="0.35">
      <c r="C19" s="42"/>
      <c r="G19" s="3">
        <v>15</v>
      </c>
      <c r="H19" s="44">
        <v>8</v>
      </c>
      <c r="I19" s="47">
        <f t="shared" si="0"/>
        <v>408000</v>
      </c>
      <c r="J19" s="44">
        <v>9</v>
      </c>
      <c r="K19" s="47">
        <f t="shared" si="1"/>
        <v>459000</v>
      </c>
      <c r="L19" s="44">
        <v>6</v>
      </c>
      <c r="M19" s="47">
        <f t="shared" si="2"/>
        <v>306000</v>
      </c>
    </row>
    <row r="20" spans="3:13" x14ac:dyDescent="0.35">
      <c r="G20" s="3">
        <v>16</v>
      </c>
      <c r="H20" s="44">
        <v>6</v>
      </c>
      <c r="I20" s="47">
        <f t="shared" si="0"/>
        <v>244800</v>
      </c>
      <c r="J20" s="44">
        <v>8</v>
      </c>
      <c r="K20" s="47">
        <f t="shared" si="1"/>
        <v>326400</v>
      </c>
      <c r="L20" s="44">
        <v>5</v>
      </c>
      <c r="M20" s="47">
        <f t="shared" si="2"/>
        <v>204000</v>
      </c>
    </row>
    <row r="21" spans="3:13" x14ac:dyDescent="0.35">
      <c r="G21" s="3">
        <v>17</v>
      </c>
      <c r="H21" s="44">
        <v>6</v>
      </c>
      <c r="I21" s="47">
        <f t="shared" si="0"/>
        <v>183600</v>
      </c>
      <c r="J21" s="44">
        <v>8</v>
      </c>
      <c r="K21" s="47">
        <f t="shared" si="1"/>
        <v>244800</v>
      </c>
      <c r="L21" s="44">
        <v>5</v>
      </c>
      <c r="M21" s="47">
        <f t="shared" si="2"/>
        <v>153000</v>
      </c>
    </row>
    <row r="22" spans="3:13" x14ac:dyDescent="0.35">
      <c r="G22" s="3">
        <v>18</v>
      </c>
      <c r="H22" s="44">
        <v>5</v>
      </c>
      <c r="I22" s="47">
        <f t="shared" si="0"/>
        <v>102000</v>
      </c>
      <c r="J22" s="44">
        <v>6</v>
      </c>
      <c r="K22" s="47">
        <f t="shared" si="1"/>
        <v>122400</v>
      </c>
      <c r="L22" s="44">
        <v>5</v>
      </c>
      <c r="M22" s="47">
        <f t="shared" si="2"/>
        <v>102000</v>
      </c>
    </row>
    <row r="23" spans="3:13" x14ac:dyDescent="0.35">
      <c r="G23" s="3">
        <v>19</v>
      </c>
      <c r="H23" s="44">
        <v>5</v>
      </c>
      <c r="I23" s="47">
        <f t="shared" si="0"/>
        <v>51000</v>
      </c>
      <c r="J23" s="44">
        <v>5</v>
      </c>
      <c r="K23" s="47">
        <f t="shared" si="1"/>
        <v>51000</v>
      </c>
      <c r="L23" s="44">
        <v>5</v>
      </c>
      <c r="M23" s="47">
        <f t="shared" si="2"/>
        <v>51000</v>
      </c>
    </row>
    <row r="24" spans="3:13" x14ac:dyDescent="0.35">
      <c r="G24" s="3">
        <v>20</v>
      </c>
      <c r="H24" s="44">
        <v>5</v>
      </c>
      <c r="I24" s="47">
        <f t="shared" si="0"/>
        <v>0</v>
      </c>
      <c r="J24" s="44">
        <v>5</v>
      </c>
      <c r="K24" s="47">
        <f t="shared" si="1"/>
        <v>0</v>
      </c>
      <c r="L24" s="44">
        <v>4</v>
      </c>
      <c r="M24" s="47">
        <f t="shared" si="2"/>
        <v>0</v>
      </c>
    </row>
    <row r="25" spans="3:13" x14ac:dyDescent="0.35">
      <c r="H25">
        <v>3</v>
      </c>
      <c r="J25">
        <v>5</v>
      </c>
      <c r="L25" s="51">
        <v>7</v>
      </c>
    </row>
    <row r="27" spans="3:13" x14ac:dyDescent="0.35">
      <c r="G27" t="s">
        <v>38</v>
      </c>
    </row>
  </sheetData>
  <customSheetViews>
    <customSheetView guid="{19F84062-18A1-42AB-A9E0-86A9327249B7}" state="hidden">
      <selection activeCell="E14" sqref="E14"/>
      <pageMargins left="0.7" right="0.7" top="0.75" bottom="0.75" header="0.3" footer="0.3"/>
      <pageSetup orientation="portrait" horizontalDpi="1200" verticalDpi="1200" r:id="rId1"/>
    </customSheetView>
    <customSheetView guid="{B72BCD0A-2298-4E08-A3B0-236EC70E50BB}" state="hidden">
      <selection activeCell="E14" sqref="E14"/>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
  <sheetViews>
    <sheetView workbookViewId="0">
      <selection activeCell="D23" sqref="D23"/>
    </sheetView>
  </sheetViews>
  <sheetFormatPr defaultColWidth="9.1796875" defaultRowHeight="14.5" x14ac:dyDescent="0.35"/>
  <cols>
    <col min="1" max="16384" width="9.1796875" style="54"/>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E15"/>
  <sheetViews>
    <sheetView workbookViewId="0">
      <selection activeCell="D23" sqref="D23"/>
    </sheetView>
  </sheetViews>
  <sheetFormatPr defaultColWidth="9.1796875" defaultRowHeight="14.5" x14ac:dyDescent="0.35"/>
  <cols>
    <col min="1" max="1" width="12.26953125" style="339" customWidth="1"/>
    <col min="2" max="2" width="20.54296875" style="339" customWidth="1"/>
    <col min="3" max="3" width="85.7265625" style="339" customWidth="1"/>
    <col min="4" max="16384" width="9.1796875" style="339"/>
  </cols>
  <sheetData>
    <row r="1" spans="1:5" x14ac:dyDescent="0.35">
      <c r="A1" s="339" t="s">
        <v>50</v>
      </c>
    </row>
    <row r="2" spans="1:5" x14ac:dyDescent="0.35">
      <c r="A2" s="463" t="s">
        <v>49</v>
      </c>
      <c r="B2" s="464" t="s">
        <v>52</v>
      </c>
      <c r="C2" s="464" t="s">
        <v>51</v>
      </c>
      <c r="D2" s="465"/>
      <c r="E2" s="466"/>
    </row>
    <row r="3" spans="1:5" x14ac:dyDescent="0.35">
      <c r="A3" s="467">
        <v>43523</v>
      </c>
      <c r="B3" s="339" t="s">
        <v>53</v>
      </c>
      <c r="C3" s="484" t="s">
        <v>54</v>
      </c>
      <c r="D3" s="484"/>
      <c r="E3" s="484"/>
    </row>
    <row r="4" spans="1:5" x14ac:dyDescent="0.35">
      <c r="A4" s="467">
        <v>43549</v>
      </c>
      <c r="B4" s="339" t="s">
        <v>53</v>
      </c>
      <c r="C4" s="339" t="s">
        <v>114</v>
      </c>
    </row>
    <row r="5" spans="1:5" x14ac:dyDescent="0.35">
      <c r="A5" s="467">
        <v>43552</v>
      </c>
      <c r="B5" s="339" t="s">
        <v>53</v>
      </c>
      <c r="C5" s="339" t="s">
        <v>289</v>
      </c>
    </row>
    <row r="6" spans="1:5" x14ac:dyDescent="0.35">
      <c r="A6" s="468">
        <v>43565</v>
      </c>
      <c r="B6" s="339" t="s">
        <v>115</v>
      </c>
      <c r="C6" s="339" t="s">
        <v>116</v>
      </c>
    </row>
    <row r="7" spans="1:5" x14ac:dyDescent="0.35">
      <c r="A7" s="468">
        <v>43578</v>
      </c>
      <c r="B7" s="339" t="s">
        <v>115</v>
      </c>
      <c r="C7" s="339" t="s">
        <v>119</v>
      </c>
    </row>
    <row r="8" spans="1:5" ht="29" x14ac:dyDescent="0.35">
      <c r="A8" s="468">
        <v>43584</v>
      </c>
      <c r="B8" s="339" t="s">
        <v>115</v>
      </c>
      <c r="C8" s="469" t="s">
        <v>122</v>
      </c>
    </row>
    <row r="9" spans="1:5" ht="155.25" customHeight="1" x14ac:dyDescent="0.35">
      <c r="A9" s="468">
        <v>43623</v>
      </c>
      <c r="B9" s="339" t="s">
        <v>234</v>
      </c>
      <c r="C9" s="469" t="s">
        <v>288</v>
      </c>
    </row>
    <row r="10" spans="1:5" x14ac:dyDescent="0.35">
      <c r="A10" s="468">
        <v>43641</v>
      </c>
      <c r="B10" s="339" t="s">
        <v>234</v>
      </c>
      <c r="C10" s="339" t="s">
        <v>302</v>
      </c>
    </row>
    <row r="11" spans="1:5" x14ac:dyDescent="0.35">
      <c r="A11" s="468">
        <v>43662</v>
      </c>
      <c r="B11" s="339" t="s">
        <v>115</v>
      </c>
      <c r="C11" s="339" t="s">
        <v>303</v>
      </c>
    </row>
    <row r="12" spans="1:5" x14ac:dyDescent="0.35">
      <c r="A12" s="468">
        <v>43665</v>
      </c>
      <c r="B12" s="339" t="s">
        <v>234</v>
      </c>
      <c r="C12" s="339" t="s">
        <v>307</v>
      </c>
    </row>
    <row r="13" spans="1:5" ht="29" x14ac:dyDescent="0.35">
      <c r="A13" s="468">
        <v>43669</v>
      </c>
      <c r="B13" s="339" t="s">
        <v>234</v>
      </c>
      <c r="C13" s="469" t="s">
        <v>400</v>
      </c>
    </row>
    <row r="14" spans="1:5" ht="43.5" x14ac:dyDescent="0.35">
      <c r="A14" s="468">
        <v>43682</v>
      </c>
      <c r="B14" s="339" t="s">
        <v>234</v>
      </c>
      <c r="C14" s="469" t="s">
        <v>401</v>
      </c>
    </row>
    <row r="15" spans="1:5" x14ac:dyDescent="0.35">
      <c r="A15" s="468">
        <v>43684</v>
      </c>
      <c r="B15" s="339" t="s">
        <v>234</v>
      </c>
      <c r="C15" s="339" t="s">
        <v>404</v>
      </c>
    </row>
  </sheetData>
  <mergeCells count="1">
    <mergeCell ref="C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I55"/>
  <sheetViews>
    <sheetView topLeftCell="A25" workbookViewId="0">
      <selection activeCell="D23" sqref="D23"/>
    </sheetView>
  </sheetViews>
  <sheetFormatPr defaultColWidth="9.1796875" defaultRowHeight="14.5" x14ac:dyDescent="0.35"/>
  <cols>
    <col min="1" max="1" width="3.7265625" style="54" customWidth="1"/>
    <col min="2" max="2" width="43" style="54" customWidth="1"/>
    <col min="3" max="3" width="22.453125" style="54" customWidth="1"/>
    <col min="4" max="4" width="100.7265625" style="54" customWidth="1"/>
    <col min="5" max="5" width="12.54296875" style="54" bestFit="1" customWidth="1"/>
    <col min="6" max="6" width="11" style="54" customWidth="1"/>
    <col min="7" max="7" width="13.7265625" style="54" customWidth="1"/>
    <col min="8" max="8" width="10.54296875" style="54" customWidth="1"/>
    <col min="9" max="9" width="10.7265625" style="54" customWidth="1"/>
    <col min="10" max="10" width="12" style="54" customWidth="1"/>
    <col min="11" max="11" width="11.26953125" style="54" customWidth="1"/>
    <col min="12" max="12" width="11" style="54" customWidth="1"/>
    <col min="13" max="13" width="10.7265625" style="54" customWidth="1"/>
    <col min="14" max="14" width="10.26953125" style="54" customWidth="1"/>
    <col min="15" max="15" width="12.1796875" style="54" customWidth="1"/>
    <col min="16" max="17" width="11.7265625" style="54" customWidth="1"/>
    <col min="18" max="18" width="12" style="54" customWidth="1"/>
    <col min="19" max="19" width="12.26953125" style="54" customWidth="1"/>
    <col min="20" max="20" width="12.453125" style="54" customWidth="1"/>
    <col min="21" max="21" width="11.1796875" style="54" customWidth="1"/>
    <col min="22" max="22" width="11.26953125" style="54" customWidth="1"/>
    <col min="23" max="23" width="13" style="54" customWidth="1"/>
    <col min="24" max="16384" width="9.1796875" style="54"/>
  </cols>
  <sheetData>
    <row r="1" spans="1:5" ht="18.5" x14ac:dyDescent="0.45">
      <c r="B1" s="296" t="s">
        <v>86</v>
      </c>
      <c r="C1" s="296"/>
      <c r="D1" s="296"/>
    </row>
    <row r="2" spans="1:5" s="237" customFormat="1" x14ac:dyDescent="0.35">
      <c r="B2" s="316" t="s">
        <v>365</v>
      </c>
      <c r="C2" s="317">
        <f>Maximum_Load</f>
        <v>40</v>
      </c>
      <c r="D2" s="318"/>
    </row>
    <row r="3" spans="1:5" s="237" customFormat="1" x14ac:dyDescent="0.35">
      <c r="B3" s="316" t="s">
        <v>321</v>
      </c>
      <c r="C3" s="317">
        <f>Nomination</f>
        <v>3</v>
      </c>
      <c r="D3" s="318" t="str">
        <f>"The amount the customer is requesting, in this case "&amp;C3&amp;" MVA"</f>
        <v>The amount the customer is requesting, in this case 3 MVA</v>
      </c>
    </row>
    <row r="4" spans="1:5" x14ac:dyDescent="0.35">
      <c r="B4" s="316" t="s">
        <v>73</v>
      </c>
      <c r="C4" s="289">
        <f>Total_Substation_Base_Capital</f>
        <v>5839000</v>
      </c>
      <c r="D4" s="316" t="s">
        <v>360</v>
      </c>
    </row>
    <row r="5" spans="1:5" x14ac:dyDescent="0.35">
      <c r="B5" s="316" t="s">
        <v>367</v>
      </c>
      <c r="C5" s="289">
        <f>Substation_cost_per_Useable_MVA</f>
        <v>145975</v>
      </c>
      <c r="D5" s="316" t="s">
        <v>366</v>
      </c>
    </row>
    <row r="6" spans="1:5" x14ac:dyDescent="0.35">
      <c r="B6" s="316" t="s">
        <v>320</v>
      </c>
      <c r="C6" s="289">
        <f>Nomination*Substation_cost_per_Useable_MVA</f>
        <v>437925</v>
      </c>
      <c r="D6" s="316" t="str">
        <f>"Capital associated with the Nomination of "&amp;C3&amp;" MVA"</f>
        <v>Capital associated with the Nomination of 3 MVA</v>
      </c>
    </row>
    <row r="7" spans="1:5" ht="15" customHeight="1" x14ac:dyDescent="0.35">
      <c r="B7" s="290" t="s">
        <v>275</v>
      </c>
      <c r="C7" s="291">
        <f>Substation_cost_per_Useable_MVA*Nomination</f>
        <v>437925</v>
      </c>
      <c r="D7" s="292" t="s">
        <v>276</v>
      </c>
    </row>
    <row r="9" spans="1:5" ht="18.5" x14ac:dyDescent="0.45">
      <c r="B9" s="203" t="str">
        <f>IF(Type_of_Expansion="New","","No ")&amp;"Unallocated Capital"</f>
        <v>Unallocated Capital</v>
      </c>
      <c r="C9" s="203"/>
      <c r="D9" s="203"/>
      <c r="E9" s="54" t="str">
        <f>"The Portion of the Substation that is not used by the customer in the initial "&amp;Years_to_Full_Load&amp;" Years"</f>
        <v>The Portion of the Substation that is not used by the customer in the initial 7 Years</v>
      </c>
    </row>
    <row r="10" spans="1:5" x14ac:dyDescent="0.35">
      <c r="B10" s="319" t="s">
        <v>272</v>
      </c>
      <c r="C10" s="320">
        <f>IF(Type_of_Expansion="New",Maximum_Load-Nomination,0)</f>
        <v>37</v>
      </c>
      <c r="D10" s="319" t="s">
        <v>322</v>
      </c>
    </row>
    <row r="11" spans="1:5" x14ac:dyDescent="0.35">
      <c r="B11" s="316" t="s">
        <v>362</v>
      </c>
      <c r="C11" s="289">
        <f>(IF(Type_of_Expansion="New",Substation_Total_Capital-Nomination_Contribution,0))</f>
        <v>5401075</v>
      </c>
      <c r="D11" s="316" t="s">
        <v>361</v>
      </c>
    </row>
    <row r="12" spans="1:5" x14ac:dyDescent="0.35">
      <c r="B12" s="205" t="s">
        <v>363</v>
      </c>
      <c r="C12" s="206">
        <f>IF(Type_of_Expansion="New",Substation_cost_per_Useable_MVA*(Usable_MVA-Nomination)/Life_of_Assets*(Years_to_Full_Load),0)</f>
        <v>1260250.8333333335</v>
      </c>
      <c r="D12" s="205" t="s">
        <v>376</v>
      </c>
    </row>
    <row r="13" spans="1:5" x14ac:dyDescent="0.35">
      <c r="B13" s="205" t="s">
        <v>262</v>
      </c>
      <c r="C13" s="206">
        <f>IF(Type_of_Expansion="New",(Maximum_Load-Nomination)*Annual_O_M*Years_to_Full_Load,0)</f>
        <v>28936.774999999998</v>
      </c>
      <c r="D13" s="205" t="s">
        <v>273</v>
      </c>
    </row>
    <row r="14" spans="1:5" x14ac:dyDescent="0.35">
      <c r="B14" s="216" t="s">
        <v>364</v>
      </c>
      <c r="C14" s="208">
        <f>SUM(C12:C13)</f>
        <v>1289187.6083333334</v>
      </c>
      <c r="D14" s="207" t="s">
        <v>274</v>
      </c>
    </row>
    <row r="15" spans="1:5" x14ac:dyDescent="0.35">
      <c r="A15" s="321"/>
      <c r="B15" s="98"/>
      <c r="C15" s="98"/>
      <c r="D15" s="98"/>
    </row>
    <row r="16" spans="1:5" x14ac:dyDescent="0.35">
      <c r="A16" s="321"/>
      <c r="B16" s="322" t="str">
        <f>IF(Type_of_Expansion="New","Financing of Unallocated Total Substation - Unallocated Assigned Capital","No Unallocated Capital to Finance ")</f>
        <v>Financing of Unallocated Total Substation - Unallocated Assigned Capital</v>
      </c>
      <c r="C16" s="294"/>
      <c r="D16" s="295"/>
    </row>
    <row r="17" spans="1:5" x14ac:dyDescent="0.35">
      <c r="B17" s="209" t="s">
        <v>368</v>
      </c>
      <c r="C17" s="210">
        <f>Unallocated_Total_Capital-Unallocated_Assigned_Capital</f>
        <v>4140824.1666666665</v>
      </c>
      <c r="D17" s="211" t="s">
        <v>278</v>
      </c>
    </row>
    <row r="18" spans="1:5" x14ac:dyDescent="0.35">
      <c r="B18" s="293" t="s">
        <v>369</v>
      </c>
      <c r="C18" s="323">
        <f>Unallocated_Base_Capital*Debt_Interest_Rate*Years_to_Full_Load</f>
        <v>608701.15249999997</v>
      </c>
      <c r="D18" s="212" t="s">
        <v>280</v>
      </c>
    </row>
    <row r="19" spans="1:5" x14ac:dyDescent="0.35">
      <c r="B19" s="293" t="s">
        <v>370</v>
      </c>
      <c r="C19" s="323">
        <f>Unallocated_Base_Capital*Equity_Return*Years_to_Full_Load</f>
        <v>1420302.6891666665</v>
      </c>
      <c r="D19" s="212" t="s">
        <v>279</v>
      </c>
    </row>
    <row r="20" spans="1:5" x14ac:dyDescent="0.35">
      <c r="B20" s="216" t="s">
        <v>371</v>
      </c>
      <c r="C20" s="213">
        <f>SUM(C18:C19)</f>
        <v>2029003.8416666663</v>
      </c>
      <c r="D20" s="207" t="s">
        <v>391</v>
      </c>
    </row>
    <row r="21" spans="1:5" x14ac:dyDescent="0.35">
      <c r="A21" s="321"/>
      <c r="B21" s="98"/>
      <c r="C21" s="98"/>
      <c r="D21" s="98"/>
    </row>
    <row r="22" spans="1:5" ht="18.5" x14ac:dyDescent="0.45">
      <c r="B22" s="204" t="str">
        <f>IF(Length_of_Xmission=0,"No Distance Adjustment","Distance Components")</f>
        <v>No Distance Adjustment</v>
      </c>
      <c r="C22" s="204"/>
      <c r="D22" s="204"/>
      <c r="E22" s="54" t="str">
        <f>"The factors used to adjust the Unallocated Remaining Capital for the distance from existing transmission."</f>
        <v>The factors used to adjust the Unallocated Remaining Capital for the distance from existing transmission.</v>
      </c>
    </row>
    <row r="23" spans="1:5" x14ac:dyDescent="0.35">
      <c r="A23" s="55"/>
      <c r="B23" s="298" t="s">
        <v>277</v>
      </c>
      <c r="C23" s="299"/>
      <c r="D23" s="300"/>
      <c r="E23" s="54" t="str">
        <f xml:space="preserve"> "In this case "&amp;IF(Calculator!D8=0," there is no transmisison.",Calculator!D8&amp;" miles.")</f>
        <v>In this case  there is no transmisison.</v>
      </c>
    </row>
    <row r="24" spans="1:5" x14ac:dyDescent="0.35">
      <c r="A24" s="55"/>
      <c r="B24" s="197" t="s">
        <v>79</v>
      </c>
      <c r="C24" s="324">
        <f>Length_of_Xmission</f>
        <v>0</v>
      </c>
      <c r="D24" s="198" t="s">
        <v>65</v>
      </c>
    </row>
    <row r="25" spans="1:5" x14ac:dyDescent="0.35">
      <c r="A25" s="55"/>
      <c r="B25" s="197" t="s">
        <v>244</v>
      </c>
      <c r="C25" s="324">
        <f>Depreciation_for_Distance</f>
        <v>7</v>
      </c>
      <c r="D25" s="198" t="s">
        <v>309</v>
      </c>
    </row>
    <row r="26" spans="1:5" x14ac:dyDescent="0.35">
      <c r="A26" s="55"/>
      <c r="B26" s="197" t="s">
        <v>245</v>
      </c>
      <c r="C26" s="199">
        <f>((((Life_of_Assets-Years_to_Full_Load)/Max_Transmission_Distance)*Length_of_Xmission)+7)/Life_of_Assets</f>
        <v>0.23333333333333334</v>
      </c>
      <c r="D26" s="198" t="s">
        <v>372</v>
      </c>
    </row>
    <row r="27" spans="1:5" x14ac:dyDescent="0.35">
      <c r="A27" s="55"/>
      <c r="B27" s="197" t="s">
        <v>246</v>
      </c>
      <c r="C27" s="199">
        <f>Length_of_Xmission/Max_Transmission_Distance</f>
        <v>0</v>
      </c>
      <c r="D27" s="198" t="str">
        <f>"% of the maximum distance based on "&amp;Max_Transmission_Distance&amp;" miles to calculate the zero mile unallocated Base capital assignment"</f>
        <v>% of the maximum distance based on 5 miles to calculate the zero mile unallocated Base capital assignment</v>
      </c>
    </row>
    <row r="28" spans="1:5" x14ac:dyDescent="0.35">
      <c r="A28" s="55"/>
      <c r="B28" s="200" t="s">
        <v>247</v>
      </c>
      <c r="C28" s="201">
        <f>C27*C26</f>
        <v>0</v>
      </c>
      <c r="D28" s="202"/>
      <c r="E28" s="54" t="str">
        <f>"The non-linear factor to capture the Unallocated Remaining Base Capital.  This is 100% at "&amp;Max_Transmission_Distance&amp;" miles of transmission"</f>
        <v>The non-linear factor to capture the Unallocated Remaining Base Capital.  This is 100% at 5 miles of transmission</v>
      </c>
    </row>
    <row r="29" spans="1:5" x14ac:dyDescent="0.35">
      <c r="A29" s="55"/>
      <c r="C29" s="97"/>
      <c r="D29" s="97"/>
    </row>
    <row r="30" spans="1:5" x14ac:dyDescent="0.35">
      <c r="A30" s="55"/>
      <c r="B30" s="301" t="s">
        <v>373</v>
      </c>
      <c r="C30" s="302"/>
      <c r="D30" s="303"/>
    </row>
    <row r="31" spans="1:5" x14ac:dyDescent="0.35">
      <c r="A31" s="55"/>
      <c r="B31" s="304" t="s">
        <v>374</v>
      </c>
      <c r="C31" s="305">
        <f>Unallocated_Capacity*Distance_Factor</f>
        <v>0</v>
      </c>
      <c r="D31" s="306" t="s">
        <v>377</v>
      </c>
    </row>
    <row r="32" spans="1:5" x14ac:dyDescent="0.35">
      <c r="A32" s="55"/>
      <c r="B32" s="307" t="s">
        <v>375</v>
      </c>
      <c r="C32" s="308">
        <f>C31*Substation_cost_per_Useable_MVA</f>
        <v>0</v>
      </c>
      <c r="D32" s="202" t="s">
        <v>378</v>
      </c>
    </row>
    <row r="33" spans="1:9" x14ac:dyDescent="0.35">
      <c r="A33" s="55"/>
      <c r="C33" s="97"/>
      <c r="D33" s="97"/>
    </row>
    <row r="34" spans="1:9" x14ac:dyDescent="0.35">
      <c r="A34" s="55"/>
      <c r="B34" s="301" t="s">
        <v>379</v>
      </c>
      <c r="C34" s="302"/>
      <c r="D34" s="303"/>
    </row>
    <row r="35" spans="1:9" x14ac:dyDescent="0.35">
      <c r="A35" s="55"/>
      <c r="B35" s="325" t="s">
        <v>380</v>
      </c>
      <c r="C35" s="309">
        <f>IF(Distance_Factor=0,0,Nomination+C31)</f>
        <v>0</v>
      </c>
      <c r="D35" s="306" t="s">
        <v>381</v>
      </c>
    </row>
    <row r="36" spans="1:9" x14ac:dyDescent="0.35">
      <c r="A36" s="55"/>
      <c r="B36" s="326" t="s">
        <v>382</v>
      </c>
      <c r="C36" s="310">
        <f>IF(Distance_Factor=0,0,(Maximum_Load-Calculation!C35)*Years_to_Full_Load/Life_of_Assets)</f>
        <v>0</v>
      </c>
      <c r="D36" s="198" t="s">
        <v>392</v>
      </c>
    </row>
    <row r="37" spans="1:9" x14ac:dyDescent="0.35">
      <c r="A37" s="55"/>
      <c r="B37" s="326" t="s">
        <v>363</v>
      </c>
      <c r="C37" s="214">
        <f>C36*Substation_cost_per_Useable_MVA</f>
        <v>0</v>
      </c>
      <c r="D37" s="198" t="s">
        <v>383</v>
      </c>
    </row>
    <row r="38" spans="1:9" x14ac:dyDescent="0.35">
      <c r="A38" s="55"/>
      <c r="B38" s="326" t="s">
        <v>385</v>
      </c>
      <c r="C38" s="214">
        <f>C37*Debt_Interest_Rate*Years_to_Full_Load</f>
        <v>0</v>
      </c>
      <c r="D38" s="198" t="s">
        <v>386</v>
      </c>
    </row>
    <row r="39" spans="1:9" x14ac:dyDescent="0.35">
      <c r="A39" s="55"/>
      <c r="B39" s="326" t="s">
        <v>384</v>
      </c>
      <c r="C39" s="214">
        <f>C37*Equity_Return*Years_to_Full_Load</f>
        <v>0</v>
      </c>
      <c r="D39" s="198" t="s">
        <v>387</v>
      </c>
    </row>
    <row r="40" spans="1:9" x14ac:dyDescent="0.35">
      <c r="A40" s="55"/>
      <c r="B40" s="326" t="s">
        <v>262</v>
      </c>
      <c r="C40" s="214">
        <f>Unallocated_O_M*(1-Percent_of_Max_Distance)</f>
        <v>28936.774999999998</v>
      </c>
      <c r="D40" s="198" t="s">
        <v>388</v>
      </c>
    </row>
    <row r="41" spans="1:9" x14ac:dyDescent="0.35">
      <c r="A41" s="55"/>
      <c r="B41" s="311" t="s">
        <v>389</v>
      </c>
      <c r="C41" s="215">
        <f>SUM(C37:C40)</f>
        <v>28936.774999999998</v>
      </c>
      <c r="D41" s="202" t="s">
        <v>390</v>
      </c>
    </row>
    <row r="42" spans="1:9" x14ac:dyDescent="0.35">
      <c r="A42" s="55"/>
      <c r="B42" s="97"/>
      <c r="C42" s="97"/>
    </row>
    <row r="43" spans="1:9" ht="18.5" x14ac:dyDescent="0.45">
      <c r="A43" s="55"/>
      <c r="B43" s="220" t="s">
        <v>285</v>
      </c>
      <c r="C43" s="221"/>
      <c r="D43" s="221"/>
    </row>
    <row r="44" spans="1:9" x14ac:dyDescent="0.35">
      <c r="B44" s="319" t="s">
        <v>120</v>
      </c>
      <c r="C44" s="327">
        <f>Nomination_Contribution</f>
        <v>437925</v>
      </c>
      <c r="D44" s="319"/>
      <c r="F44" s="218"/>
      <c r="H44" s="218"/>
      <c r="I44" s="218"/>
    </row>
    <row r="45" spans="1:9" x14ac:dyDescent="0.35">
      <c r="B45" s="316" t="s">
        <v>373</v>
      </c>
      <c r="C45" s="323">
        <f>C32</f>
        <v>0</v>
      </c>
      <c r="D45" s="316"/>
      <c r="F45" s="218"/>
      <c r="H45" s="218"/>
      <c r="I45" s="218"/>
    </row>
    <row r="46" spans="1:9" x14ac:dyDescent="0.35">
      <c r="B46" s="316" t="s">
        <v>393</v>
      </c>
      <c r="C46" s="323">
        <f>C41</f>
        <v>28936.774999999998</v>
      </c>
      <c r="D46" s="316"/>
      <c r="F46" s="218"/>
      <c r="H46" s="218"/>
      <c r="I46" s="218"/>
    </row>
    <row r="47" spans="1:9" x14ac:dyDescent="0.35">
      <c r="B47" s="297" t="s">
        <v>394</v>
      </c>
      <c r="C47" s="213">
        <f>SUM(C44:C46)</f>
        <v>466861.77500000002</v>
      </c>
      <c r="D47" s="328" t="s">
        <v>395</v>
      </c>
      <c r="F47" s="218"/>
      <c r="H47" s="218"/>
      <c r="I47" s="218"/>
    </row>
    <row r="48" spans="1:9" x14ac:dyDescent="0.35">
      <c r="B48" s="56"/>
    </row>
    <row r="49" spans="2:4" ht="19" thickBot="1" x14ac:dyDescent="0.5">
      <c r="B49" s="312" t="s">
        <v>281</v>
      </c>
      <c r="C49" s="313"/>
      <c r="D49" s="313"/>
    </row>
    <row r="50" spans="2:4" ht="15" thickTop="1" x14ac:dyDescent="0.35">
      <c r="B50" s="329" t="s">
        <v>227</v>
      </c>
      <c r="C50" s="330">
        <f>C47</f>
        <v>466861.77500000002</v>
      </c>
      <c r="D50" s="331" t="s">
        <v>396</v>
      </c>
    </row>
    <row r="51" spans="2:4" x14ac:dyDescent="0.35">
      <c r="B51" s="332" t="s">
        <v>241</v>
      </c>
      <c r="C51" s="222">
        <f>Feeder</f>
        <v>0</v>
      </c>
      <c r="D51" s="333" t="s">
        <v>282</v>
      </c>
    </row>
    <row r="52" spans="2:4" x14ac:dyDescent="0.35">
      <c r="B52" s="332" t="s">
        <v>399</v>
      </c>
      <c r="C52" s="222">
        <f>Transmission</f>
        <v>0</v>
      </c>
      <c r="D52" s="333" t="s">
        <v>397</v>
      </c>
    </row>
    <row r="53" spans="2:4" x14ac:dyDescent="0.35">
      <c r="B53" s="332" t="s">
        <v>228</v>
      </c>
      <c r="C53" s="222">
        <f>Miscellaneous_Cost</f>
        <v>0</v>
      </c>
      <c r="D53" s="333" t="s">
        <v>283</v>
      </c>
    </row>
    <row r="54" spans="2:4" ht="15" thickBot="1" x14ac:dyDescent="0.4">
      <c r="B54" s="314" t="s">
        <v>229</v>
      </c>
      <c r="C54" s="315">
        <f>SUM(C50:C53)</f>
        <v>466861.77500000002</v>
      </c>
      <c r="D54" s="334" t="s">
        <v>398</v>
      </c>
    </row>
    <row r="55" spans="2:4" ht="15" thickTop="1" x14ac:dyDescent="0.35"/>
  </sheetData>
  <customSheetViews>
    <customSheetView guid="{19F84062-18A1-42AB-A9E0-86A9327249B7}">
      <selection activeCell="E24" sqref="E24"/>
      <pageMargins left="0.7" right="0.7" top="0.75" bottom="0.75" header="0.3" footer="0.3"/>
      <pageSetup orientation="portrait" r:id="rId1"/>
    </customSheetView>
    <customSheetView guid="{B72BCD0A-2298-4E08-A3B0-236EC70E50BB}">
      <selection activeCell="C7" sqref="C7"/>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Y54"/>
  <sheetViews>
    <sheetView workbookViewId="0">
      <selection activeCell="D23" sqref="D23"/>
    </sheetView>
  </sheetViews>
  <sheetFormatPr defaultColWidth="9.1796875" defaultRowHeight="15.5" x14ac:dyDescent="0.35"/>
  <cols>
    <col min="1" max="1" width="13.54296875" style="68" customWidth="1"/>
    <col min="2" max="2" width="35" style="68" customWidth="1"/>
    <col min="3" max="3" width="18" style="68" customWidth="1"/>
    <col min="4" max="4" width="14" style="68" bestFit="1" customWidth="1"/>
    <col min="5" max="7" width="12.81640625" style="68" customWidth="1"/>
    <col min="8" max="8" width="4.81640625" style="68" bestFit="1" customWidth="1"/>
    <col min="9" max="9" width="33.1796875" style="68" bestFit="1" customWidth="1"/>
    <col min="10" max="10" width="9.26953125" style="68" bestFit="1" customWidth="1"/>
    <col min="11" max="11" width="18.453125" style="68" customWidth="1"/>
    <col min="12" max="15" width="14.453125" style="68" customWidth="1"/>
    <col min="16" max="16" width="16.54296875" style="68" bestFit="1" customWidth="1"/>
    <col min="17" max="21" width="9.1796875" style="68"/>
    <col min="22" max="22" width="10.1796875" style="68" customWidth="1"/>
    <col min="23" max="23" width="9.1796875" style="68"/>
    <col min="24" max="24" width="16" style="68" bestFit="1" customWidth="1"/>
    <col min="25" max="16384" width="9.1796875" style="68"/>
  </cols>
  <sheetData>
    <row r="1" spans="1:25" x14ac:dyDescent="0.35">
      <c r="A1" s="99" t="s">
        <v>213</v>
      </c>
      <c r="B1" s="100"/>
      <c r="C1" s="101"/>
      <c r="D1" s="100"/>
      <c r="E1" s="100"/>
      <c r="F1" s="100"/>
      <c r="H1" s="99" t="s">
        <v>221</v>
      </c>
      <c r="I1" s="100"/>
      <c r="J1" s="100"/>
      <c r="K1" s="101"/>
      <c r="M1" s="99" t="s">
        <v>226</v>
      </c>
      <c r="N1" s="101"/>
    </row>
    <row r="2" spans="1:25" s="96" customFormat="1" ht="31" x14ac:dyDescent="0.35">
      <c r="A2" s="103" t="s">
        <v>214</v>
      </c>
      <c r="B2" s="104" t="s">
        <v>203</v>
      </c>
      <c r="C2" s="104" t="s">
        <v>82</v>
      </c>
      <c r="D2" s="104" t="s">
        <v>210</v>
      </c>
      <c r="E2" s="104" t="s">
        <v>296</v>
      </c>
      <c r="F2" s="104" t="s">
        <v>265</v>
      </c>
      <c r="H2" s="131" t="s">
        <v>80</v>
      </c>
      <c r="I2" s="131" t="s">
        <v>87</v>
      </c>
      <c r="J2" s="131" t="s">
        <v>220</v>
      </c>
      <c r="K2" s="131" t="s">
        <v>117</v>
      </c>
      <c r="M2" s="131" t="s">
        <v>106</v>
      </c>
      <c r="N2" s="131" t="s">
        <v>231</v>
      </c>
      <c r="P2" s="91" t="s">
        <v>208</v>
      </c>
      <c r="Q2" s="69" t="s">
        <v>61</v>
      </c>
      <c r="S2" s="69" t="s">
        <v>79</v>
      </c>
      <c r="U2" s="69" t="s">
        <v>205</v>
      </c>
      <c r="V2" s="69" t="s">
        <v>222</v>
      </c>
      <c r="X2" s="69" t="s">
        <v>294</v>
      </c>
    </row>
    <row r="3" spans="1:25" x14ac:dyDescent="0.35">
      <c r="A3" s="121">
        <v>25</v>
      </c>
      <c r="B3" s="102" t="s">
        <v>3</v>
      </c>
      <c r="C3" s="112">
        <v>4993000</v>
      </c>
      <c r="D3" s="117">
        <v>20</v>
      </c>
      <c r="E3" s="185">
        <f>C3/A3</f>
        <v>199720</v>
      </c>
      <c r="F3" s="185">
        <f>C3/D3</f>
        <v>249650</v>
      </c>
      <c r="G3" s="162"/>
      <c r="H3" s="132">
        <v>16</v>
      </c>
      <c r="I3" s="456" t="s">
        <v>100</v>
      </c>
      <c r="J3" s="133">
        <v>45000</v>
      </c>
      <c r="K3" s="457" t="s">
        <v>159</v>
      </c>
      <c r="M3" s="458" t="s">
        <v>108</v>
      </c>
      <c r="N3" s="459">
        <v>3000000</v>
      </c>
      <c r="P3" s="134" t="s">
        <v>209</v>
      </c>
      <c r="Q3" s="116">
        <v>25</v>
      </c>
      <c r="S3" s="228">
        <v>0</v>
      </c>
      <c r="U3" s="70">
        <v>3</v>
      </c>
      <c r="V3" s="79">
        <f t="shared" ref="V3:V10" si="0">U3</f>
        <v>3</v>
      </c>
      <c r="X3" s="225" t="s">
        <v>291</v>
      </c>
    </row>
    <row r="4" spans="1:25" x14ac:dyDescent="0.35">
      <c r="A4" s="122">
        <v>50</v>
      </c>
      <c r="B4" s="93" t="s">
        <v>4</v>
      </c>
      <c r="C4" s="113">
        <v>7369000</v>
      </c>
      <c r="D4" s="118">
        <v>40</v>
      </c>
      <c r="E4" s="186">
        <f>C4/A4</f>
        <v>147380</v>
      </c>
      <c r="F4" s="186">
        <f>C4/D4</f>
        <v>184225</v>
      </c>
      <c r="G4" s="162"/>
      <c r="H4" s="132">
        <v>0</v>
      </c>
      <c r="I4" s="456" t="s">
        <v>99</v>
      </c>
      <c r="J4" s="133">
        <v>65000</v>
      </c>
      <c r="K4" s="457" t="s">
        <v>164</v>
      </c>
      <c r="M4" s="460" t="s">
        <v>107</v>
      </c>
      <c r="N4" s="459">
        <v>1000000</v>
      </c>
      <c r="P4" s="135" t="s">
        <v>12</v>
      </c>
      <c r="Q4" s="116">
        <v>41</v>
      </c>
      <c r="S4" s="229">
        <f>S$13*0.1</f>
        <v>0.5</v>
      </c>
      <c r="U4" s="71">
        <v>4</v>
      </c>
      <c r="V4" s="71">
        <f t="shared" si="0"/>
        <v>4</v>
      </c>
      <c r="X4" s="95" t="s">
        <v>290</v>
      </c>
    </row>
    <row r="5" spans="1:25" x14ac:dyDescent="0.35">
      <c r="A5" s="123">
        <v>41</v>
      </c>
      <c r="B5" s="92" t="s">
        <v>5</v>
      </c>
      <c r="C5" s="114">
        <v>5839000</v>
      </c>
      <c r="D5" s="119">
        <v>40</v>
      </c>
      <c r="E5" s="187">
        <f>C5/A5</f>
        <v>142414.63414634147</v>
      </c>
      <c r="F5" s="187">
        <f>C5/D5</f>
        <v>145975</v>
      </c>
      <c r="G5" s="162"/>
      <c r="H5" s="136">
        <v>10</v>
      </c>
      <c r="I5" s="456" t="s">
        <v>95</v>
      </c>
      <c r="J5" s="133">
        <v>25000</v>
      </c>
      <c r="K5" s="457" t="s">
        <v>164</v>
      </c>
      <c r="P5" s="72"/>
      <c r="S5" s="229">
        <f>S$13*0.2</f>
        <v>1</v>
      </c>
      <c r="U5" s="71">
        <v>5</v>
      </c>
      <c r="V5" s="71">
        <f t="shared" si="0"/>
        <v>5</v>
      </c>
      <c r="X5" s="68" t="s">
        <v>292</v>
      </c>
      <c r="Y5" s="68" t="s">
        <v>293</v>
      </c>
    </row>
    <row r="6" spans="1:25" x14ac:dyDescent="0.35">
      <c r="A6" s="122">
        <v>82</v>
      </c>
      <c r="B6" s="93" t="s">
        <v>6</v>
      </c>
      <c r="C6" s="113">
        <v>8667000</v>
      </c>
      <c r="D6" s="118">
        <v>80</v>
      </c>
      <c r="E6" s="186">
        <f>C6/A6</f>
        <v>105695.12195121951</v>
      </c>
      <c r="F6" s="186">
        <f>C6/D6</f>
        <v>108337.5</v>
      </c>
      <c r="G6" s="162"/>
      <c r="M6" s="223" t="s">
        <v>286</v>
      </c>
      <c r="N6" s="224"/>
      <c r="P6" s="72" t="s">
        <v>242</v>
      </c>
      <c r="Q6" s="68">
        <v>41</v>
      </c>
      <c r="S6" s="229">
        <f>S$13*0.3</f>
        <v>1.5</v>
      </c>
      <c r="U6" s="71">
        <v>6</v>
      </c>
      <c r="V6" s="71">
        <f t="shared" si="0"/>
        <v>6</v>
      </c>
      <c r="X6" s="68" t="s">
        <v>284</v>
      </c>
      <c r="Y6" s="68" t="s">
        <v>293</v>
      </c>
    </row>
    <row r="7" spans="1:25" x14ac:dyDescent="0.35">
      <c r="A7" s="124" t="s">
        <v>20</v>
      </c>
      <c r="B7" s="94" t="s">
        <v>13</v>
      </c>
      <c r="C7" s="115">
        <v>71357.75</v>
      </c>
      <c r="D7" s="120">
        <v>2</v>
      </c>
      <c r="E7" s="188"/>
      <c r="F7" s="188"/>
      <c r="G7" s="162"/>
      <c r="M7" s="225" t="str">
        <f>Transmission_Voltage</f>
        <v>230 kV</v>
      </c>
      <c r="N7" s="111">
        <f>INDEX(N3:N4,MATCH(M7,M3:M4,0))</f>
        <v>3000000</v>
      </c>
      <c r="P7" s="73"/>
      <c r="S7" s="229">
        <f>S$13*0.4</f>
        <v>2</v>
      </c>
      <c r="U7" s="71">
        <v>7</v>
      </c>
      <c r="V7" s="71">
        <f t="shared" si="0"/>
        <v>7</v>
      </c>
    </row>
    <row r="8" spans="1:25" x14ac:dyDescent="0.35">
      <c r="A8" s="105" t="s">
        <v>113</v>
      </c>
      <c r="C8" s="162"/>
      <c r="G8" s="162"/>
      <c r="M8" s="184"/>
      <c r="N8" s="128"/>
      <c r="P8" s="73"/>
      <c r="S8" s="229">
        <f>S$13*0.5</f>
        <v>2.5</v>
      </c>
      <c r="U8" s="71">
        <v>8</v>
      </c>
      <c r="V8" s="71">
        <f t="shared" si="0"/>
        <v>8</v>
      </c>
    </row>
    <row r="9" spans="1:25" x14ac:dyDescent="0.35">
      <c r="C9" s="162"/>
      <c r="D9" s="230"/>
      <c r="G9" s="162"/>
      <c r="M9" s="226">
        <f>Length_of_Xmission</f>
        <v>0</v>
      </c>
      <c r="N9" s="227">
        <f>M9*N7</f>
        <v>0</v>
      </c>
      <c r="P9" s="74"/>
      <c r="S9" s="229">
        <v>3</v>
      </c>
      <c r="U9" s="71">
        <v>9</v>
      </c>
      <c r="V9" s="71">
        <f t="shared" si="0"/>
        <v>9</v>
      </c>
    </row>
    <row r="10" spans="1:25" x14ac:dyDescent="0.35">
      <c r="B10" s="109" t="s">
        <v>212</v>
      </c>
      <c r="S10" s="229">
        <v>3.5</v>
      </c>
      <c r="U10" s="71">
        <v>10</v>
      </c>
      <c r="V10" s="71">
        <f t="shared" si="0"/>
        <v>10</v>
      </c>
    </row>
    <row r="11" spans="1:25" x14ac:dyDescent="0.35">
      <c r="B11" s="485" t="s">
        <v>211</v>
      </c>
      <c r="C11" s="486"/>
      <c r="D11" s="487"/>
      <c r="M11" s="461" t="s">
        <v>219</v>
      </c>
      <c r="N11" s="462" t="s">
        <v>108</v>
      </c>
      <c r="S11" s="229">
        <f>S$13*0.8</f>
        <v>4</v>
      </c>
      <c r="U11" s="71">
        <v>11</v>
      </c>
      <c r="V11" s="71">
        <f t="shared" ref="V11:V16" si="1">U11</f>
        <v>11</v>
      </c>
    </row>
    <row r="12" spans="1:25" x14ac:dyDescent="0.35">
      <c r="B12" s="75" t="s">
        <v>56</v>
      </c>
      <c r="C12" s="76" t="s">
        <v>57</v>
      </c>
      <c r="D12" s="76" t="s">
        <v>58</v>
      </c>
      <c r="S12" s="229">
        <f>S$13*0.9</f>
        <v>4.5</v>
      </c>
      <c r="U12" s="71">
        <v>12</v>
      </c>
      <c r="V12" s="71">
        <f t="shared" si="1"/>
        <v>12</v>
      </c>
    </row>
    <row r="13" spans="1:25" x14ac:dyDescent="0.35">
      <c r="B13" s="77" t="s">
        <v>59</v>
      </c>
      <c r="C13" s="78"/>
      <c r="D13" s="79"/>
      <c r="S13" s="82">
        <f>C18</f>
        <v>5</v>
      </c>
      <c r="U13" s="71">
        <v>13</v>
      </c>
      <c r="V13" s="71">
        <f t="shared" si="1"/>
        <v>13</v>
      </c>
    </row>
    <row r="14" spans="1:25" x14ac:dyDescent="0.35">
      <c r="B14" s="80" t="s">
        <v>60</v>
      </c>
      <c r="C14" s="108">
        <f>Transformer_Size</f>
        <v>41</v>
      </c>
      <c r="D14" s="81" t="s">
        <v>61</v>
      </c>
      <c r="U14" s="71">
        <v>14</v>
      </c>
      <c r="V14" s="71">
        <f t="shared" si="1"/>
        <v>14</v>
      </c>
    </row>
    <row r="15" spans="1:25" x14ac:dyDescent="0.35">
      <c r="B15" s="83" t="s">
        <v>210</v>
      </c>
      <c r="C15" s="108">
        <f>VLOOKUP(C14, Transformer_Data, 4)</f>
        <v>40</v>
      </c>
      <c r="D15" s="81" t="s">
        <v>61</v>
      </c>
      <c r="U15" s="71">
        <v>15</v>
      </c>
      <c r="V15" s="71">
        <f t="shared" si="1"/>
        <v>15</v>
      </c>
    </row>
    <row r="16" spans="1:25" x14ac:dyDescent="0.35">
      <c r="B16" s="80" t="s">
        <v>62</v>
      </c>
      <c r="C16" s="84">
        <v>7</v>
      </c>
      <c r="D16" s="81" t="s">
        <v>63</v>
      </c>
      <c r="E16" s="85"/>
      <c r="F16" s="85"/>
      <c r="U16" s="71">
        <v>16</v>
      </c>
      <c r="V16" s="88">
        <f t="shared" si="1"/>
        <v>16</v>
      </c>
    </row>
    <row r="17" spans="2:21" x14ac:dyDescent="0.35">
      <c r="B17" s="80" t="s">
        <v>217</v>
      </c>
      <c r="C17" s="86">
        <v>5</v>
      </c>
      <c r="D17" s="81" t="s">
        <v>65</v>
      </c>
      <c r="E17" s="85"/>
      <c r="F17" s="85"/>
      <c r="G17" s="85"/>
      <c r="U17" s="71">
        <v>17</v>
      </c>
    </row>
    <row r="18" spans="2:21" x14ac:dyDescent="0.35">
      <c r="B18" s="80" t="s">
        <v>218</v>
      </c>
      <c r="C18" s="86">
        <v>5</v>
      </c>
      <c r="D18" s="87" t="s">
        <v>65</v>
      </c>
      <c r="G18" s="85"/>
      <c r="U18" s="71">
        <v>18</v>
      </c>
    </row>
    <row r="19" spans="2:21" x14ac:dyDescent="0.35">
      <c r="B19" s="106" t="s">
        <v>266</v>
      </c>
      <c r="C19" s="110">
        <f>VLOOKUP(C14,Sub_Capacities_and_Costs,6)</f>
        <v>145975</v>
      </c>
      <c r="D19" s="107" t="s">
        <v>267</v>
      </c>
      <c r="U19" s="71">
        <v>19</v>
      </c>
    </row>
    <row r="20" spans="2:21" x14ac:dyDescent="0.35">
      <c r="B20" s="80" t="s">
        <v>249</v>
      </c>
      <c r="C20" s="128">
        <f>VLOOKUP(C14,Sub_Capacities_and_Costs,3)</f>
        <v>5839000</v>
      </c>
      <c r="D20" s="87" t="s">
        <v>215</v>
      </c>
      <c r="U20" s="88">
        <v>20</v>
      </c>
    </row>
    <row r="21" spans="2:21" x14ac:dyDescent="0.35">
      <c r="B21" s="71" t="s">
        <v>295</v>
      </c>
      <c r="C21" s="130">
        <v>0</v>
      </c>
      <c r="D21" s="71" t="s">
        <v>215</v>
      </c>
    </row>
    <row r="22" spans="2:21" x14ac:dyDescent="0.35">
      <c r="B22" s="71" t="str">
        <f>"Base "&amp;Distribution_Type&amp;" Distribution"</f>
        <v>Base Overhead Distribution</v>
      </c>
      <c r="C22" s="128">
        <f>'Distribution Estimate'!I8</f>
        <v>0</v>
      </c>
      <c r="D22" s="71" t="s">
        <v>215</v>
      </c>
      <c r="P22" s="89"/>
    </row>
    <row r="23" spans="2:21" x14ac:dyDescent="0.35">
      <c r="B23" s="164" t="s">
        <v>248</v>
      </c>
      <c r="C23" s="165">
        <f>SUM(C20:C22)</f>
        <v>5839000</v>
      </c>
      <c r="D23" s="88" t="s">
        <v>215</v>
      </c>
      <c r="P23" s="89"/>
    </row>
    <row r="24" spans="2:21" x14ac:dyDescent="0.35">
      <c r="B24" s="79" t="s">
        <v>236</v>
      </c>
      <c r="C24" s="111"/>
      <c r="D24" s="79"/>
      <c r="P24" s="89"/>
    </row>
    <row r="25" spans="2:21" x14ac:dyDescent="0.35">
      <c r="B25" s="166" t="str">
        <f>Distribution_Distance&amp;" Miles of "&amp;Distribution_Type&amp;" Feeder"</f>
        <v>0 Miles of Overhead Feeder</v>
      </c>
      <c r="C25" s="167">
        <f>Feeder</f>
        <v>0</v>
      </c>
      <c r="D25" s="88" t="s">
        <v>215</v>
      </c>
      <c r="P25" s="89"/>
    </row>
    <row r="26" spans="2:21" x14ac:dyDescent="0.35">
      <c r="B26" s="79" t="s">
        <v>250</v>
      </c>
      <c r="C26" s="111"/>
      <c r="D26" s="79"/>
      <c r="P26" s="89"/>
    </row>
    <row r="27" spans="2:21" x14ac:dyDescent="0.35">
      <c r="B27" s="166" t="str">
        <f>Length_of_Xmission&amp;" Miles to "&amp;Transmission_Voltage&amp;" Transmission"</f>
        <v>0 Miles to 230 kV Transmission</v>
      </c>
      <c r="C27" s="168">
        <f>Transmission</f>
        <v>0</v>
      </c>
      <c r="D27" s="88" t="s">
        <v>215</v>
      </c>
      <c r="P27" s="89"/>
    </row>
    <row r="28" spans="2:21" x14ac:dyDescent="0.35">
      <c r="B28" s="71" t="s">
        <v>252</v>
      </c>
      <c r="C28" s="129"/>
      <c r="D28" s="71"/>
      <c r="P28" s="89"/>
    </row>
    <row r="29" spans="2:21" x14ac:dyDescent="0.35">
      <c r="B29" s="163" t="str">
        <f>"O&amp;M Cost per MVA Using "&amp;Maximum_Load&amp;" MVA"</f>
        <v>O&amp;M Cost per MVA Using 40 MVA</v>
      </c>
      <c r="C29" s="125">
        <f>O_M_Cost_per_MVA_per_year*C14/Maximum_Load</f>
        <v>111.72499999999999</v>
      </c>
      <c r="D29" s="71" t="s">
        <v>216</v>
      </c>
      <c r="P29" s="89"/>
    </row>
    <row r="30" spans="2:21" x14ac:dyDescent="0.35">
      <c r="B30" s="182" t="s">
        <v>253</v>
      </c>
      <c r="C30" s="184" t="s">
        <v>255</v>
      </c>
      <c r="D30" s="71" t="s">
        <v>216</v>
      </c>
      <c r="P30" s="89"/>
    </row>
    <row r="31" spans="2:21" x14ac:dyDescent="0.35">
      <c r="B31" s="183" t="s">
        <v>254</v>
      </c>
      <c r="C31" s="95" t="s">
        <v>255</v>
      </c>
      <c r="D31" s="71" t="s">
        <v>216</v>
      </c>
      <c r="P31" s="89"/>
    </row>
    <row r="32" spans="2:21" x14ac:dyDescent="0.35">
      <c r="B32" s="169" t="s">
        <v>224</v>
      </c>
      <c r="C32" s="78"/>
      <c r="D32" s="79"/>
    </row>
    <row r="33" spans="1:8" x14ac:dyDescent="0.35">
      <c r="B33" s="172" t="str">
        <f>"Annual O&amp;M Cost  on "&amp;C14&amp;" MVA Basis"</f>
        <v>Annual O&amp;M Cost  on 41 MVA Basis</v>
      </c>
      <c r="C33" s="170">
        <v>109</v>
      </c>
      <c r="D33" s="171" t="s">
        <v>64</v>
      </c>
      <c r="H33" s="89"/>
    </row>
    <row r="34" spans="1:8" x14ac:dyDescent="0.35">
      <c r="B34" s="189" t="s">
        <v>66</v>
      </c>
      <c r="C34" s="191"/>
      <c r="D34" s="70"/>
      <c r="H34" s="89"/>
    </row>
    <row r="35" spans="1:8" x14ac:dyDescent="0.35">
      <c r="B35" s="173" t="s">
        <v>104</v>
      </c>
      <c r="C35" s="192">
        <f>C37*C36</f>
        <v>4.9000000000000002E-2</v>
      </c>
      <c r="D35" s="71"/>
    </row>
    <row r="36" spans="1:8" x14ac:dyDescent="0.35">
      <c r="B36" s="174" t="s">
        <v>67</v>
      </c>
      <c r="C36" s="193">
        <v>0.1225</v>
      </c>
      <c r="D36" s="71" t="s">
        <v>68</v>
      </c>
    </row>
    <row r="37" spans="1:8" x14ac:dyDescent="0.35">
      <c r="B37" s="174" t="s">
        <v>84</v>
      </c>
      <c r="C37" s="194">
        <v>0.4</v>
      </c>
      <c r="D37" s="71" t="s">
        <v>68</v>
      </c>
    </row>
    <row r="38" spans="1:8" x14ac:dyDescent="0.35">
      <c r="B38" s="173" t="s">
        <v>105</v>
      </c>
      <c r="C38" s="195">
        <f>C40*C39</f>
        <v>2.1000000000000001E-2</v>
      </c>
      <c r="D38" s="71"/>
    </row>
    <row r="39" spans="1:8" x14ac:dyDescent="0.35">
      <c r="B39" s="174" t="s">
        <v>69</v>
      </c>
      <c r="C39" s="193">
        <v>3.5000000000000003E-2</v>
      </c>
      <c r="D39" s="71" t="s">
        <v>68</v>
      </c>
    </row>
    <row r="40" spans="1:8" x14ac:dyDescent="0.35">
      <c r="B40" s="174" t="s">
        <v>85</v>
      </c>
      <c r="C40" s="192">
        <f>1-C37</f>
        <v>0.6</v>
      </c>
      <c r="D40" s="71" t="s">
        <v>68</v>
      </c>
    </row>
    <row r="41" spans="1:8" x14ac:dyDescent="0.35">
      <c r="B41" s="175" t="s">
        <v>268</v>
      </c>
      <c r="C41" s="196">
        <f>Equity_Return+Debt_Interest_Rate</f>
        <v>7.0000000000000007E-2</v>
      </c>
      <c r="D41" s="88"/>
    </row>
    <row r="42" spans="1:8" x14ac:dyDescent="0.35">
      <c r="B42" s="189" t="s">
        <v>70</v>
      </c>
      <c r="C42" s="70"/>
      <c r="D42" s="70"/>
    </row>
    <row r="43" spans="1:8" x14ac:dyDescent="0.35">
      <c r="B43" s="176" t="s">
        <v>71</v>
      </c>
      <c r="C43" s="190">
        <v>30</v>
      </c>
      <c r="D43" s="88" t="s">
        <v>72</v>
      </c>
    </row>
    <row r="44" spans="1:8" x14ac:dyDescent="0.35">
      <c r="B44" s="177" t="s">
        <v>251</v>
      </c>
      <c r="C44" s="178"/>
      <c r="D44" s="179"/>
    </row>
    <row r="45" spans="1:8" x14ac:dyDescent="0.35">
      <c r="B45" s="180" t="s">
        <v>243</v>
      </c>
      <c r="C45" s="90">
        <f>(C43-C16)/C17*Calculator!D8+C16</f>
        <v>7</v>
      </c>
      <c r="D45" s="181"/>
    </row>
    <row r="47" spans="1:8" x14ac:dyDescent="0.35">
      <c r="A47" s="68" t="s">
        <v>109</v>
      </c>
      <c r="B47" s="68" t="s">
        <v>74</v>
      </c>
    </row>
    <row r="48" spans="1:8" x14ac:dyDescent="0.35">
      <c r="B48" s="68" t="s">
        <v>75</v>
      </c>
    </row>
    <row r="49" spans="2:2" x14ac:dyDescent="0.35">
      <c r="B49" s="68" t="s">
        <v>76</v>
      </c>
    </row>
    <row r="50" spans="2:2" x14ac:dyDescent="0.35">
      <c r="B50" s="68" t="s">
        <v>77</v>
      </c>
    </row>
    <row r="51" spans="2:2" x14ac:dyDescent="0.35">
      <c r="B51" s="68" t="s">
        <v>78</v>
      </c>
    </row>
    <row r="52" spans="2:2" x14ac:dyDescent="0.35">
      <c r="B52" s="68" t="s">
        <v>48</v>
      </c>
    </row>
    <row r="53" spans="2:2" x14ac:dyDescent="0.35">
      <c r="B53" s="68" t="s">
        <v>47</v>
      </c>
    </row>
    <row r="54" spans="2:2" x14ac:dyDescent="0.35">
      <c r="B54" s="68" t="s">
        <v>81</v>
      </c>
    </row>
  </sheetData>
  <protectedRanges>
    <protectedRange sqref="N11" name="Input" securityDescriptor="O:WDG:WDD:(A;;CC;;;WD)"/>
  </protectedRanges>
  <customSheetViews>
    <customSheetView guid="{19F84062-18A1-42AB-A9E0-86A9327249B7}">
      <selection activeCell="B10" sqref="B10"/>
      <pageMargins left="0.7" right="0.7" top="0.75" bottom="0.75" header="0.3" footer="0.3"/>
      <pageSetup orientation="portrait" horizontalDpi="1200" verticalDpi="1200" r:id="rId1"/>
    </customSheetView>
    <customSheetView guid="{B72BCD0A-2298-4E08-A3B0-236EC70E50BB}">
      <selection activeCell="B14" sqref="B14"/>
      <pageMargins left="0.7" right="0.7" top="0.75" bottom="0.75" header="0.3" footer="0.3"/>
      <pageSetup orientation="portrait" horizontalDpi="1200" verticalDpi="1200" r:id="rId2"/>
    </customSheetView>
  </customSheetViews>
  <mergeCells count="1">
    <mergeCell ref="B11:D11"/>
  </mergeCells>
  <dataValidations count="1">
    <dataValidation type="list" allowBlank="1" showInputMessage="1" showErrorMessage="1" sqref="N11" xr:uid="{00000000-0002-0000-0400-000000000000}">
      <formula1>$M$3:$M$4</formula1>
    </dataValidation>
  </dataValidations>
  <pageMargins left="0.7" right="0.7" top="0.75" bottom="0.75" header="0.3" footer="0.3"/>
  <pageSetup orientation="portrait" horizontalDpi="1200" verticalDpi="1200"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M25"/>
  <sheetViews>
    <sheetView workbookViewId="0">
      <selection activeCell="D23" sqref="D23"/>
    </sheetView>
  </sheetViews>
  <sheetFormatPr defaultColWidth="9.1796875" defaultRowHeight="14.5" x14ac:dyDescent="0.35"/>
  <cols>
    <col min="1" max="1" width="5.26953125" style="54" bestFit="1" customWidth="1"/>
    <col min="2" max="2" width="33.1796875" style="54" bestFit="1" customWidth="1"/>
    <col min="3" max="3" width="11" style="54" bestFit="1" customWidth="1"/>
    <col min="4" max="4" width="5.26953125" style="54" bestFit="1" customWidth="1"/>
    <col min="5" max="5" width="11.54296875" style="54" customWidth="1"/>
    <col min="6" max="6" width="13" style="54" customWidth="1"/>
    <col min="7" max="7" width="20.54296875" style="54" customWidth="1"/>
    <col min="8" max="9" width="12.54296875" style="54" customWidth="1"/>
    <col min="10" max="10" width="21.81640625" style="54" customWidth="1"/>
    <col min="11" max="11" width="22.81640625" style="54" customWidth="1"/>
    <col min="12" max="12" width="12.54296875" style="54" bestFit="1" customWidth="1"/>
    <col min="13" max="16384" width="9.1796875" style="54"/>
  </cols>
  <sheetData>
    <row r="1" spans="1:13" s="419" customFormat="1" ht="30" customHeight="1" x14ac:dyDescent="0.35">
      <c r="A1" s="137" t="s">
        <v>112</v>
      </c>
      <c r="B1" s="138"/>
      <c r="C1" s="138"/>
      <c r="D1" s="138"/>
      <c r="E1" s="138"/>
      <c r="G1" s="140" t="s">
        <v>117</v>
      </c>
      <c r="H1" s="140" t="s">
        <v>120</v>
      </c>
      <c r="I1" s="140" t="s">
        <v>230</v>
      </c>
      <c r="J1" s="139" t="s">
        <v>121</v>
      </c>
    </row>
    <row r="2" spans="1:13" s="238" customFormat="1" ht="29" x14ac:dyDescent="0.35">
      <c r="A2" s="131" t="s">
        <v>61</v>
      </c>
      <c r="B2" s="131" t="s">
        <v>87</v>
      </c>
      <c r="C2" s="131" t="s">
        <v>220</v>
      </c>
      <c r="D2" s="131" t="s">
        <v>117</v>
      </c>
      <c r="E2" s="151" t="s">
        <v>121</v>
      </c>
      <c r="G2" s="420" t="str">
        <f>Distribution_Type</f>
        <v>Overhead</v>
      </c>
      <c r="H2" s="420">
        <f>Nomination</f>
        <v>3</v>
      </c>
      <c r="I2" s="420">
        <f>Distribution_Distance</f>
        <v>0</v>
      </c>
      <c r="J2" s="420">
        <f>INDEX(E8:E14,MATCH($H$2,A8:A14,1))</f>
        <v>1</v>
      </c>
    </row>
    <row r="3" spans="1:13" x14ac:dyDescent="0.35">
      <c r="A3" s="152">
        <v>16</v>
      </c>
      <c r="B3" s="421" t="s">
        <v>100</v>
      </c>
      <c r="C3" s="153">
        <v>45000</v>
      </c>
      <c r="D3" s="422" t="s">
        <v>96</v>
      </c>
      <c r="E3" s="422" t="s">
        <v>237</v>
      </c>
    </row>
    <row r="4" spans="1:13" x14ac:dyDescent="0.35">
      <c r="A4" s="155">
        <v>0</v>
      </c>
      <c r="B4" s="423" t="s">
        <v>99</v>
      </c>
      <c r="C4" s="158">
        <v>65000</v>
      </c>
      <c r="D4" s="424" t="s">
        <v>88</v>
      </c>
      <c r="E4" s="424" t="s">
        <v>237</v>
      </c>
    </row>
    <row r="5" spans="1:13" ht="15" thickBot="1" x14ac:dyDescent="0.4">
      <c r="A5" s="159">
        <v>12</v>
      </c>
      <c r="B5" s="425" t="s">
        <v>95</v>
      </c>
      <c r="C5" s="160">
        <v>25000</v>
      </c>
      <c r="D5" s="426" t="s">
        <v>88</v>
      </c>
      <c r="E5" s="426" t="s">
        <v>237</v>
      </c>
    </row>
    <row r="6" spans="1:13" ht="15" thickTop="1" x14ac:dyDescent="0.35">
      <c r="A6" s="126"/>
      <c r="B6" s="427"/>
      <c r="C6" s="127"/>
      <c r="G6" s="240" t="s">
        <v>308</v>
      </c>
      <c r="H6" s="241"/>
      <c r="I6" s="241"/>
      <c r="J6" s="241"/>
      <c r="K6" s="241"/>
      <c r="L6" s="428"/>
    </row>
    <row r="7" spans="1:13" s="429" customFormat="1" ht="29" x14ac:dyDescent="0.35">
      <c r="A7" s="131" t="s">
        <v>61</v>
      </c>
      <c r="B7" s="131" t="s">
        <v>101</v>
      </c>
      <c r="C7" s="131" t="s">
        <v>220</v>
      </c>
      <c r="D7" s="131" t="s">
        <v>117</v>
      </c>
      <c r="E7" s="151" t="s">
        <v>121</v>
      </c>
      <c r="G7" s="242" t="str">
        <f>"Estimated Distribution Related Costs for "&amp;H2&amp;" MVA with "&amp;G2&amp;" getaway"</f>
        <v>Estimated Distribution Related Costs for 3 MVA with Overhead getaway</v>
      </c>
      <c r="H7" s="142"/>
      <c r="I7" s="142"/>
      <c r="J7" s="142"/>
      <c r="K7" s="142"/>
      <c r="L7" s="430"/>
      <c r="M7" s="54"/>
    </row>
    <row r="8" spans="1:13" x14ac:dyDescent="0.35">
      <c r="A8" s="152">
        <v>0</v>
      </c>
      <c r="B8" s="421" t="s">
        <v>94</v>
      </c>
      <c r="C8" s="153">
        <v>83989</v>
      </c>
      <c r="D8" s="422" t="s">
        <v>88</v>
      </c>
      <c r="E8" s="154">
        <v>1</v>
      </c>
      <c r="G8" s="431" t="s">
        <v>298</v>
      </c>
      <c r="H8" s="432" t="str">
        <f>IF($G$2="Overhead",J12,G12)</f>
        <v>OH Service</v>
      </c>
      <c r="I8" s="141">
        <f>IF($G$2="Overhead",SUM(K14:K15),SUM(H14:H15))</f>
        <v>0</v>
      </c>
      <c r="J8" s="321"/>
      <c r="K8" s="321"/>
      <c r="L8" s="433"/>
    </row>
    <row r="9" spans="1:13" x14ac:dyDescent="0.35">
      <c r="A9" s="155">
        <v>3</v>
      </c>
      <c r="B9" s="423" t="s">
        <v>94</v>
      </c>
      <c r="C9" s="156">
        <v>414182</v>
      </c>
      <c r="D9" s="424" t="s">
        <v>88</v>
      </c>
      <c r="E9" s="157">
        <v>1</v>
      </c>
      <c r="G9" s="431" t="s">
        <v>236</v>
      </c>
      <c r="H9" s="432" t="str">
        <f>IF($G$2="Overhead",J17,G17)</f>
        <v>OH Feeder</v>
      </c>
      <c r="I9" s="243">
        <f>IF($G$2="Overhead",SUM(K18:K19),SUM(H18:H19))</f>
        <v>0</v>
      </c>
      <c r="J9" s="321"/>
      <c r="K9" s="321"/>
      <c r="L9" s="433"/>
    </row>
    <row r="10" spans="1:13" x14ac:dyDescent="0.35">
      <c r="A10" s="155">
        <v>10</v>
      </c>
      <c r="B10" s="423" t="s">
        <v>89</v>
      </c>
      <c r="C10" s="158">
        <v>605831</v>
      </c>
      <c r="D10" s="424" t="s">
        <v>88</v>
      </c>
      <c r="E10" s="157">
        <v>2</v>
      </c>
      <c r="G10" s="431"/>
      <c r="H10" s="434" t="s">
        <v>301</v>
      </c>
      <c r="I10" s="435">
        <f>SUM(I8:I9)</f>
        <v>0</v>
      </c>
      <c r="J10" s="321"/>
      <c r="K10" s="321"/>
      <c r="L10" s="433"/>
    </row>
    <row r="11" spans="1:13" x14ac:dyDescent="0.35">
      <c r="A11" s="155">
        <v>18</v>
      </c>
      <c r="B11" s="423" t="s">
        <v>90</v>
      </c>
      <c r="C11" s="158">
        <f>C10*1.684</f>
        <v>1020219.404</v>
      </c>
      <c r="D11" s="424" t="s">
        <v>88</v>
      </c>
      <c r="E11" s="157">
        <v>3</v>
      </c>
      <c r="G11" s="431"/>
      <c r="H11" s="321"/>
      <c r="I11" s="321"/>
      <c r="J11" s="321"/>
      <c r="K11" s="321"/>
      <c r="L11" s="433"/>
    </row>
    <row r="12" spans="1:13" x14ac:dyDescent="0.35">
      <c r="A12" s="155">
        <v>26</v>
      </c>
      <c r="B12" s="423" t="s">
        <v>91</v>
      </c>
      <c r="C12" s="158">
        <f>C11*1.584</f>
        <v>1616027.5359360001</v>
      </c>
      <c r="D12" s="424" t="s">
        <v>88</v>
      </c>
      <c r="E12" s="157">
        <v>4</v>
      </c>
      <c r="G12" s="244" t="s">
        <v>102</v>
      </c>
      <c r="H12" s="145"/>
      <c r="I12" s="146"/>
      <c r="J12" s="143" t="s">
        <v>103</v>
      </c>
      <c r="K12" s="144"/>
      <c r="L12" s="245"/>
    </row>
    <row r="13" spans="1:13" x14ac:dyDescent="0.35">
      <c r="A13" s="155">
        <v>32</v>
      </c>
      <c r="B13" s="423" t="s">
        <v>92</v>
      </c>
      <c r="C13" s="158">
        <f>C12*1.484</f>
        <v>2398184.8633290241</v>
      </c>
      <c r="D13" s="424" t="s">
        <v>88</v>
      </c>
      <c r="E13" s="157">
        <v>5</v>
      </c>
      <c r="G13" s="246" t="s">
        <v>59</v>
      </c>
      <c r="H13" s="436"/>
      <c r="I13" s="437"/>
      <c r="J13" s="247" t="s">
        <v>59</v>
      </c>
      <c r="K13" s="436"/>
      <c r="L13" s="438"/>
    </row>
    <row r="14" spans="1:13" x14ac:dyDescent="0.35">
      <c r="A14" s="159">
        <v>37</v>
      </c>
      <c r="B14" s="425" t="s">
        <v>93</v>
      </c>
      <c r="C14" s="160">
        <f>C13*1.384</f>
        <v>3319087.8508473691</v>
      </c>
      <c r="D14" s="426" t="s">
        <v>88</v>
      </c>
      <c r="E14" s="161">
        <v>6</v>
      </c>
      <c r="G14" s="439" t="s">
        <v>299</v>
      </c>
      <c r="H14" s="147">
        <f>IF(Distribution_Distance=0,0,(INDEX(C4:C5, MATCH($H$2,A4:A5,1)))*(INDEX(E9:E14,MATCH($H$2,A9:A14,1))))</f>
        <v>0</v>
      </c>
      <c r="I14" s="319"/>
      <c r="J14" s="319" t="s">
        <v>300</v>
      </c>
      <c r="K14" s="147">
        <f>IF(Distribution_Distance=0,0,C3)</f>
        <v>0</v>
      </c>
      <c r="L14" s="440"/>
    </row>
    <row r="15" spans="1:13" x14ac:dyDescent="0.35">
      <c r="C15" s="441"/>
      <c r="G15" s="442" t="s">
        <v>239</v>
      </c>
      <c r="H15" s="443">
        <f>H14*I15</f>
        <v>0</v>
      </c>
      <c r="I15" s="148">
        <v>0.15</v>
      </c>
      <c r="J15" s="328" t="s">
        <v>239</v>
      </c>
      <c r="K15" s="443">
        <f>K14*L15</f>
        <v>0</v>
      </c>
      <c r="L15" s="248">
        <f>I15</f>
        <v>0.15</v>
      </c>
    </row>
    <row r="16" spans="1:13" x14ac:dyDescent="0.35">
      <c r="A16" s="152">
        <v>0</v>
      </c>
      <c r="B16" s="421" t="s">
        <v>98</v>
      </c>
      <c r="C16" s="153">
        <v>135641</v>
      </c>
      <c r="D16" s="422" t="s">
        <v>96</v>
      </c>
      <c r="E16" s="422" t="s">
        <v>237</v>
      </c>
      <c r="G16" s="444"/>
      <c r="H16" s="445"/>
      <c r="I16" s="150"/>
      <c r="J16" s="446"/>
      <c r="K16" s="445"/>
      <c r="L16" s="249"/>
    </row>
    <row r="17" spans="1:12" x14ac:dyDescent="0.35">
      <c r="A17" s="159">
        <v>8</v>
      </c>
      <c r="B17" s="425" t="s">
        <v>97</v>
      </c>
      <c r="C17" s="160">
        <v>161338</v>
      </c>
      <c r="D17" s="426" t="s">
        <v>96</v>
      </c>
      <c r="E17" s="426" t="s">
        <v>237</v>
      </c>
      <c r="G17" s="250" t="s">
        <v>238</v>
      </c>
      <c r="H17" s="447"/>
      <c r="I17" s="448"/>
      <c r="J17" s="251" t="s">
        <v>235</v>
      </c>
      <c r="K17" s="447"/>
      <c r="L17" s="449"/>
    </row>
    <row r="18" spans="1:12" x14ac:dyDescent="0.35">
      <c r="B18" s="427"/>
      <c r="C18" s="441"/>
      <c r="G18" s="439" t="s">
        <v>123</v>
      </c>
      <c r="H18" s="149">
        <f>(INDEX(C8:C14, MATCH($H$2,A8:A14,1)))*(I2)</f>
        <v>0</v>
      </c>
      <c r="I18" s="319"/>
      <c r="J18" s="319" t="s">
        <v>124</v>
      </c>
      <c r="K18" s="149">
        <f>(INDEX(C16:C17, MATCH($H$2,A16:A17,1)))*(I2)</f>
        <v>0</v>
      </c>
      <c r="L18" s="440"/>
    </row>
    <row r="19" spans="1:12" ht="15" thickBot="1" x14ac:dyDescent="0.4">
      <c r="G19" s="450" t="s">
        <v>240</v>
      </c>
      <c r="H19" s="451">
        <f>H18*I19</f>
        <v>0</v>
      </c>
      <c r="I19" s="452">
        <f>I15</f>
        <v>0.15</v>
      </c>
      <c r="J19" s="453" t="s">
        <v>240</v>
      </c>
      <c r="K19" s="451">
        <f>K18*L19</f>
        <v>0</v>
      </c>
      <c r="L19" s="454">
        <f>I15</f>
        <v>0.15</v>
      </c>
    </row>
    <row r="20" spans="1:12" ht="15" thickTop="1" x14ac:dyDescent="0.35"/>
    <row r="25" spans="1:12" x14ac:dyDescent="0.35">
      <c r="G25" s="455"/>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0000"/>
  </sheetPr>
  <dimension ref="B3:T67"/>
  <sheetViews>
    <sheetView workbookViewId="0">
      <selection activeCell="D23" sqref="D23"/>
    </sheetView>
  </sheetViews>
  <sheetFormatPr defaultColWidth="9.1796875" defaultRowHeight="14.5" outlineLevelRow="1" x14ac:dyDescent="0.35"/>
  <cols>
    <col min="1" max="1" width="9.1796875" style="54"/>
    <col min="2" max="2" width="4.1796875" style="52" customWidth="1"/>
    <col min="3" max="3" width="4.453125" style="54" customWidth="1"/>
    <col min="4" max="4" width="43.1796875" style="239" customWidth="1"/>
    <col min="5" max="6" width="21" style="54" customWidth="1"/>
    <col min="7" max="8" width="14" style="54" customWidth="1"/>
    <col min="9" max="9" width="11.26953125" style="54" customWidth="1"/>
    <col min="10" max="12" width="14" style="54" customWidth="1"/>
    <col min="13" max="14" width="14" style="52" customWidth="1"/>
    <col min="15" max="16" width="14" style="54" customWidth="1"/>
    <col min="17" max="17" width="43.7265625" style="54" customWidth="1"/>
    <col min="18" max="19" width="9.1796875" style="54"/>
    <col min="20" max="20" width="9.7265625" style="54" bestFit="1" customWidth="1"/>
    <col min="21" max="16384" width="9.1796875" style="54"/>
  </cols>
  <sheetData>
    <row r="3" spans="2:20" s="57" customFormat="1" ht="43.5" x14ac:dyDescent="0.35">
      <c r="B3" s="59" t="s">
        <v>125</v>
      </c>
      <c r="C3" s="59"/>
      <c r="D3" s="59"/>
      <c r="E3" s="60" t="s">
        <v>126</v>
      </c>
      <c r="F3" s="60" t="s">
        <v>127</v>
      </c>
      <c r="G3" s="60" t="s">
        <v>128</v>
      </c>
      <c r="H3" s="60" t="s">
        <v>129</v>
      </c>
      <c r="I3" s="60" t="s">
        <v>130</v>
      </c>
      <c r="J3" s="60" t="s">
        <v>131</v>
      </c>
      <c r="K3" s="60" t="s">
        <v>132</v>
      </c>
      <c r="L3" s="60" t="s">
        <v>133</v>
      </c>
      <c r="M3" s="60" t="s">
        <v>134</v>
      </c>
      <c r="N3" s="60" t="s">
        <v>135</v>
      </c>
      <c r="O3" s="60" t="s">
        <v>136</v>
      </c>
      <c r="P3" s="60" t="s">
        <v>137</v>
      </c>
      <c r="Q3" s="60" t="s">
        <v>138</v>
      </c>
      <c r="T3" s="61">
        <f ca="1">TODAY()</f>
        <v>43741</v>
      </c>
    </row>
    <row r="4" spans="2:20" x14ac:dyDescent="0.35">
      <c r="B4" s="52" t="s">
        <v>62</v>
      </c>
      <c r="E4" s="54" t="s">
        <v>55</v>
      </c>
      <c r="F4" s="54" t="s">
        <v>139</v>
      </c>
      <c r="G4" s="237" t="s">
        <v>204</v>
      </c>
      <c r="H4" s="54" t="s">
        <v>194</v>
      </c>
      <c r="I4" s="54">
        <v>3</v>
      </c>
      <c r="J4" s="54">
        <f t="shared" ref="J4:J35" si="0">I4*365</f>
        <v>1095</v>
      </c>
      <c r="K4" s="62">
        <v>43539</v>
      </c>
      <c r="L4" s="62">
        <v>43539</v>
      </c>
      <c r="M4" s="62">
        <f>L4+J4</f>
        <v>44634</v>
      </c>
      <c r="N4" s="52">
        <f ca="1">M4-$T$3</f>
        <v>893</v>
      </c>
      <c r="P4" s="54">
        <v>7</v>
      </c>
    </row>
    <row r="5" spans="2:20" x14ac:dyDescent="0.35">
      <c r="B5" s="52" t="s">
        <v>141</v>
      </c>
      <c r="E5" s="54" t="s">
        <v>55</v>
      </c>
      <c r="F5" s="54" t="s">
        <v>139</v>
      </c>
      <c r="G5" s="54" t="s">
        <v>140</v>
      </c>
      <c r="H5" s="54" t="s">
        <v>194</v>
      </c>
      <c r="I5" s="54">
        <v>1</v>
      </c>
      <c r="J5" s="54">
        <f t="shared" si="0"/>
        <v>365</v>
      </c>
      <c r="K5" s="62">
        <v>43539</v>
      </c>
      <c r="L5" s="62">
        <v>43539</v>
      </c>
      <c r="M5" s="62">
        <f>L5+J5</f>
        <v>43904</v>
      </c>
      <c r="N5" s="52">
        <f ca="1">M5-$T$3</f>
        <v>163</v>
      </c>
    </row>
    <row r="6" spans="2:20" outlineLevel="1" x14ac:dyDescent="0.35">
      <c r="C6" s="54" t="s">
        <v>142</v>
      </c>
      <c r="J6" s="54">
        <f t="shared" si="0"/>
        <v>0</v>
      </c>
      <c r="K6" s="62"/>
      <c r="L6" s="62"/>
      <c r="M6" s="54"/>
      <c r="O6" s="54" t="s">
        <v>143</v>
      </c>
      <c r="P6" s="54" t="s">
        <v>143</v>
      </c>
    </row>
    <row r="7" spans="2:20" outlineLevel="1" x14ac:dyDescent="0.35">
      <c r="D7" s="54" t="s">
        <v>144</v>
      </c>
      <c r="E7" s="239"/>
      <c r="J7" s="54">
        <f t="shared" si="0"/>
        <v>0</v>
      </c>
      <c r="K7" s="62"/>
      <c r="L7" s="62"/>
      <c r="M7" s="54"/>
      <c r="P7" s="54">
        <f>Assumptions!A3</f>
        <v>25</v>
      </c>
    </row>
    <row r="8" spans="2:20" outlineLevel="1" x14ac:dyDescent="0.35">
      <c r="D8" s="54" t="s">
        <v>145</v>
      </c>
      <c r="E8" s="239"/>
      <c r="J8" s="54">
        <f t="shared" si="0"/>
        <v>0</v>
      </c>
      <c r="K8" s="62"/>
      <c r="L8" s="62"/>
      <c r="M8" s="54"/>
      <c r="P8" s="54">
        <f>Assumptions!A4</f>
        <v>50</v>
      </c>
    </row>
    <row r="9" spans="2:20" outlineLevel="1" x14ac:dyDescent="0.35">
      <c r="D9" s="54" t="s">
        <v>146</v>
      </c>
      <c r="E9" s="239"/>
      <c r="J9" s="54">
        <f t="shared" si="0"/>
        <v>0</v>
      </c>
      <c r="K9" s="62"/>
      <c r="L9" s="62"/>
      <c r="M9" s="54"/>
      <c r="P9" s="54">
        <f>Assumptions!A5</f>
        <v>41</v>
      </c>
    </row>
    <row r="10" spans="2:20" outlineLevel="1" x14ac:dyDescent="0.35">
      <c r="D10" s="54" t="s">
        <v>147</v>
      </c>
      <c r="E10" s="239"/>
      <c r="J10" s="54">
        <f t="shared" si="0"/>
        <v>0</v>
      </c>
      <c r="K10" s="62"/>
      <c r="L10" s="62"/>
      <c r="M10" s="54"/>
      <c r="P10" s="54">
        <f>Assumptions!A6</f>
        <v>82</v>
      </c>
    </row>
    <row r="11" spans="2:20" outlineLevel="1" x14ac:dyDescent="0.35">
      <c r="D11" s="54" t="s">
        <v>148</v>
      </c>
      <c r="E11" s="239"/>
      <c r="J11" s="54">
        <f t="shared" si="0"/>
        <v>0</v>
      </c>
      <c r="K11" s="62"/>
      <c r="L11" s="62"/>
      <c r="M11" s="54"/>
      <c r="O11" s="58"/>
      <c r="P11" s="58">
        <f>Assumptions!C3</f>
        <v>4993000</v>
      </c>
    </row>
    <row r="12" spans="2:20" outlineLevel="1" x14ac:dyDescent="0.35">
      <c r="D12" s="54" t="s">
        <v>149</v>
      </c>
      <c r="E12" s="239"/>
      <c r="J12" s="54">
        <f t="shared" si="0"/>
        <v>0</v>
      </c>
      <c r="K12" s="62"/>
      <c r="L12" s="62"/>
      <c r="M12" s="54"/>
      <c r="O12" s="58"/>
      <c r="P12" s="58">
        <f>Assumptions!C4</f>
        <v>7369000</v>
      </c>
    </row>
    <row r="13" spans="2:20" outlineLevel="1" x14ac:dyDescent="0.35">
      <c r="D13" s="54" t="s">
        <v>150</v>
      </c>
      <c r="E13" s="239"/>
      <c r="J13" s="54">
        <f t="shared" si="0"/>
        <v>0</v>
      </c>
      <c r="K13" s="62"/>
      <c r="L13" s="62"/>
      <c r="M13" s="54"/>
      <c r="O13" s="58"/>
      <c r="P13" s="58">
        <f>Assumptions!C5</f>
        <v>5839000</v>
      </c>
    </row>
    <row r="14" spans="2:20" outlineLevel="1" x14ac:dyDescent="0.35">
      <c r="D14" s="54" t="s">
        <v>151</v>
      </c>
      <c r="E14" s="239"/>
      <c r="J14" s="54">
        <f t="shared" si="0"/>
        <v>0</v>
      </c>
      <c r="K14" s="62"/>
      <c r="L14" s="62"/>
      <c r="M14" s="54"/>
      <c r="O14" s="58"/>
      <c r="P14" s="58">
        <f>Assumptions!C6</f>
        <v>8667000</v>
      </c>
    </row>
    <row r="15" spans="2:20" outlineLevel="1" x14ac:dyDescent="0.35">
      <c r="D15" s="54" t="s">
        <v>152</v>
      </c>
      <c r="E15" s="239"/>
      <c r="J15" s="54">
        <f t="shared" si="0"/>
        <v>0</v>
      </c>
      <c r="K15" s="62"/>
      <c r="L15" s="62"/>
      <c r="M15" s="54"/>
      <c r="P15" s="54">
        <f>Assumptions!D3</f>
        <v>20</v>
      </c>
    </row>
    <row r="16" spans="2:20" outlineLevel="1" x14ac:dyDescent="0.35">
      <c r="D16" s="54" t="s">
        <v>153</v>
      </c>
      <c r="E16" s="239"/>
      <c r="J16" s="54">
        <f t="shared" si="0"/>
        <v>0</v>
      </c>
      <c r="K16" s="62"/>
      <c r="L16" s="62"/>
      <c r="M16" s="54"/>
      <c r="P16" s="54">
        <f>Assumptions!D4</f>
        <v>40</v>
      </c>
    </row>
    <row r="17" spans="2:17" outlineLevel="1" x14ac:dyDescent="0.35">
      <c r="D17" s="54" t="s">
        <v>154</v>
      </c>
      <c r="E17" s="239"/>
      <c r="J17" s="54">
        <f t="shared" si="0"/>
        <v>0</v>
      </c>
      <c r="K17" s="62"/>
      <c r="L17" s="62"/>
      <c r="M17" s="54"/>
      <c r="P17" s="54">
        <f>Assumptions!D5</f>
        <v>40</v>
      </c>
    </row>
    <row r="18" spans="2:17" outlineLevel="1" x14ac:dyDescent="0.35">
      <c r="D18" s="54" t="s">
        <v>155</v>
      </c>
      <c r="E18" s="239"/>
      <c r="J18" s="54">
        <f t="shared" si="0"/>
        <v>0</v>
      </c>
      <c r="K18" s="62"/>
      <c r="L18" s="62"/>
      <c r="M18" s="54"/>
      <c r="P18" s="54">
        <f>Assumptions!D6</f>
        <v>80</v>
      </c>
    </row>
    <row r="19" spans="2:17" x14ac:dyDescent="0.35">
      <c r="B19" s="52" t="s">
        <v>156</v>
      </c>
      <c r="E19" s="54" t="s">
        <v>157</v>
      </c>
      <c r="F19" s="54" t="s">
        <v>139</v>
      </c>
      <c r="G19" s="54" t="s">
        <v>158</v>
      </c>
      <c r="H19" s="54" t="s">
        <v>194</v>
      </c>
      <c r="I19" s="54">
        <v>0.55000000000000004</v>
      </c>
      <c r="J19" s="54">
        <f t="shared" si="0"/>
        <v>200.75000000000003</v>
      </c>
      <c r="K19" s="62">
        <v>43539</v>
      </c>
      <c r="L19" s="62">
        <v>43640</v>
      </c>
      <c r="M19" s="62">
        <f>L19+J19</f>
        <v>43840.75</v>
      </c>
      <c r="N19" s="52">
        <f ca="1">M19-$T$3</f>
        <v>99.75</v>
      </c>
      <c r="Q19" s="54" t="s">
        <v>304</v>
      </c>
    </row>
    <row r="20" spans="2:17" outlineLevel="1" x14ac:dyDescent="0.35">
      <c r="C20" s="54" t="s">
        <v>159</v>
      </c>
      <c r="J20" s="54">
        <f t="shared" si="0"/>
        <v>0</v>
      </c>
      <c r="K20" s="62"/>
      <c r="L20" s="62"/>
      <c r="M20" s="54"/>
    </row>
    <row r="21" spans="2:17" outlineLevel="1" x14ac:dyDescent="0.35">
      <c r="D21" s="239" t="s">
        <v>160</v>
      </c>
      <c r="J21" s="54">
        <f t="shared" si="0"/>
        <v>0</v>
      </c>
      <c r="K21" s="62"/>
      <c r="L21" s="62"/>
      <c r="M21" s="54"/>
      <c r="O21" s="63"/>
      <c r="P21" s="63">
        <f>'Distribution Estimate'!A3</f>
        <v>16</v>
      </c>
    </row>
    <row r="22" spans="2:17" outlineLevel="1" x14ac:dyDescent="0.35">
      <c r="D22" s="239" t="s">
        <v>161</v>
      </c>
      <c r="J22" s="54">
        <f t="shared" si="0"/>
        <v>0</v>
      </c>
      <c r="K22" s="62"/>
      <c r="L22" s="62"/>
      <c r="M22" s="54"/>
      <c r="O22" s="58"/>
      <c r="P22" s="58">
        <f>'Distribution Estimate'!C3</f>
        <v>45000</v>
      </c>
    </row>
    <row r="23" spans="2:17" outlineLevel="1" x14ac:dyDescent="0.35">
      <c r="D23" s="239" t="s">
        <v>162</v>
      </c>
      <c r="J23" s="54">
        <f t="shared" si="0"/>
        <v>0</v>
      </c>
      <c r="K23" s="62"/>
      <c r="L23" s="62"/>
      <c r="M23" s="54"/>
      <c r="P23" s="54">
        <f>'Distribution Estimate'!A16</f>
        <v>0</v>
      </c>
    </row>
    <row r="24" spans="2:17" outlineLevel="1" x14ac:dyDescent="0.35">
      <c r="D24" s="239" t="s">
        <v>163</v>
      </c>
      <c r="J24" s="54">
        <f t="shared" si="0"/>
        <v>0</v>
      </c>
      <c r="K24" s="62"/>
      <c r="L24" s="62"/>
      <c r="M24" s="54"/>
      <c r="P24" s="54">
        <f>'Distribution Estimate'!A17</f>
        <v>8</v>
      </c>
    </row>
    <row r="25" spans="2:17" outlineLevel="1" x14ac:dyDescent="0.35">
      <c r="D25" s="239" t="s">
        <v>98</v>
      </c>
      <c r="J25" s="54">
        <f t="shared" si="0"/>
        <v>0</v>
      </c>
      <c r="K25" s="62"/>
      <c r="L25" s="62"/>
      <c r="M25" s="54"/>
      <c r="O25" s="58"/>
      <c r="P25" s="58">
        <f>'Distribution Estimate'!C16</f>
        <v>135641</v>
      </c>
    </row>
    <row r="26" spans="2:17" outlineLevel="1" x14ac:dyDescent="0.35">
      <c r="D26" s="239" t="s">
        <v>97</v>
      </c>
      <c r="J26" s="54">
        <f t="shared" si="0"/>
        <v>0</v>
      </c>
      <c r="K26" s="62"/>
      <c r="L26" s="62"/>
      <c r="M26" s="54"/>
      <c r="O26" s="58"/>
      <c r="P26" s="58">
        <f>'Distribution Estimate'!C17</f>
        <v>161338</v>
      </c>
    </row>
    <row r="27" spans="2:17" outlineLevel="1" x14ac:dyDescent="0.35">
      <c r="C27" s="54" t="s">
        <v>164</v>
      </c>
      <c r="J27" s="54">
        <f t="shared" si="0"/>
        <v>0</v>
      </c>
      <c r="K27" s="62"/>
      <c r="L27" s="62"/>
      <c r="M27" s="54"/>
    </row>
    <row r="28" spans="2:17" outlineLevel="1" x14ac:dyDescent="0.35">
      <c r="D28" s="239" t="s">
        <v>165</v>
      </c>
      <c r="J28" s="54">
        <f t="shared" si="0"/>
        <v>0</v>
      </c>
      <c r="K28" s="62"/>
      <c r="L28" s="62"/>
      <c r="M28" s="54"/>
      <c r="P28" s="54">
        <f>'Distribution Estimate'!A4</f>
        <v>0</v>
      </c>
    </row>
    <row r="29" spans="2:17" outlineLevel="1" x14ac:dyDescent="0.35">
      <c r="D29" s="239" t="s">
        <v>166</v>
      </c>
      <c r="J29" s="54">
        <f t="shared" si="0"/>
        <v>0</v>
      </c>
      <c r="K29" s="62"/>
      <c r="L29" s="62"/>
      <c r="M29" s="54"/>
      <c r="O29" s="58"/>
      <c r="P29" s="58">
        <f>'Distribution Estimate'!C4</f>
        <v>65000</v>
      </c>
    </row>
    <row r="30" spans="2:17" ht="29" outlineLevel="1" x14ac:dyDescent="0.35">
      <c r="D30" s="239" t="s">
        <v>167</v>
      </c>
      <c r="J30" s="54">
        <f t="shared" si="0"/>
        <v>0</v>
      </c>
      <c r="K30" s="62"/>
      <c r="L30" s="62"/>
      <c r="M30" s="54"/>
      <c r="P30" s="54">
        <f>'Distribution Estimate'!A5</f>
        <v>12</v>
      </c>
    </row>
    <row r="31" spans="2:17" outlineLevel="1" x14ac:dyDescent="0.35">
      <c r="D31" s="239" t="s">
        <v>168</v>
      </c>
      <c r="J31" s="54">
        <f t="shared" si="0"/>
        <v>0</v>
      </c>
      <c r="K31" s="62"/>
      <c r="L31" s="62"/>
      <c r="M31" s="54"/>
      <c r="O31" s="58"/>
      <c r="P31" s="58">
        <f>'Distribution Estimate'!C5</f>
        <v>25000</v>
      </c>
    </row>
    <row r="32" spans="2:17" outlineLevel="1" x14ac:dyDescent="0.35">
      <c r="D32" s="239" t="s">
        <v>169</v>
      </c>
      <c r="J32" s="54">
        <f t="shared" si="0"/>
        <v>0</v>
      </c>
      <c r="K32" s="62"/>
      <c r="L32" s="62"/>
      <c r="M32" s="54"/>
      <c r="P32" s="54">
        <f>'Distribution Estimate'!A8</f>
        <v>0</v>
      </c>
    </row>
    <row r="33" spans="4:16" outlineLevel="1" x14ac:dyDescent="0.35">
      <c r="D33" s="239" t="s">
        <v>169</v>
      </c>
      <c r="J33" s="54">
        <f t="shared" si="0"/>
        <v>0</v>
      </c>
      <c r="K33" s="62"/>
      <c r="L33" s="62"/>
      <c r="M33" s="54"/>
      <c r="P33" s="54">
        <f>'Distribution Estimate'!A9</f>
        <v>3</v>
      </c>
    </row>
    <row r="34" spans="4:16" outlineLevel="1" x14ac:dyDescent="0.35">
      <c r="D34" s="239" t="s">
        <v>170</v>
      </c>
      <c r="J34" s="54">
        <f t="shared" si="0"/>
        <v>0</v>
      </c>
      <c r="K34" s="62"/>
      <c r="L34" s="62"/>
      <c r="M34" s="54"/>
      <c r="P34" s="54">
        <f>'Distribution Estimate'!A10</f>
        <v>10</v>
      </c>
    </row>
    <row r="35" spans="4:16" outlineLevel="1" x14ac:dyDescent="0.35">
      <c r="D35" s="239" t="s">
        <v>171</v>
      </c>
      <c r="J35" s="54">
        <f t="shared" si="0"/>
        <v>0</v>
      </c>
      <c r="K35" s="62"/>
      <c r="L35" s="62"/>
      <c r="M35" s="54"/>
      <c r="P35" s="54">
        <f>'Distribution Estimate'!A11</f>
        <v>18</v>
      </c>
    </row>
    <row r="36" spans="4:16" outlineLevel="1" x14ac:dyDescent="0.35">
      <c r="D36" s="239" t="s">
        <v>172</v>
      </c>
      <c r="J36" s="54">
        <f t="shared" ref="J36:J61" si="1">I36*365</f>
        <v>0</v>
      </c>
      <c r="K36" s="62"/>
      <c r="L36" s="62"/>
      <c r="M36" s="54"/>
      <c r="P36" s="54">
        <f>'Distribution Estimate'!A12</f>
        <v>26</v>
      </c>
    </row>
    <row r="37" spans="4:16" outlineLevel="1" x14ac:dyDescent="0.35">
      <c r="D37" s="239" t="s">
        <v>173</v>
      </c>
      <c r="J37" s="54">
        <f t="shared" si="1"/>
        <v>0</v>
      </c>
      <c r="K37" s="62"/>
      <c r="L37" s="62"/>
      <c r="M37" s="54"/>
      <c r="P37" s="54">
        <f>'Distribution Estimate'!A13</f>
        <v>32</v>
      </c>
    </row>
    <row r="38" spans="4:16" outlineLevel="1" x14ac:dyDescent="0.35">
      <c r="D38" s="239" t="s">
        <v>174</v>
      </c>
      <c r="J38" s="54">
        <f t="shared" si="1"/>
        <v>0</v>
      </c>
      <c r="K38" s="62"/>
      <c r="L38" s="62"/>
      <c r="M38" s="54"/>
      <c r="P38" s="54">
        <f>'Distribution Estimate'!A14</f>
        <v>37</v>
      </c>
    </row>
    <row r="39" spans="4:16" outlineLevel="1" x14ac:dyDescent="0.35">
      <c r="D39" s="239" t="s">
        <v>175</v>
      </c>
      <c r="J39" s="54">
        <f t="shared" si="1"/>
        <v>0</v>
      </c>
      <c r="K39" s="62"/>
      <c r="L39" s="62"/>
      <c r="M39" s="54"/>
      <c r="O39" s="58"/>
      <c r="P39" s="58">
        <f>'Distribution Estimate'!C8</f>
        <v>83989</v>
      </c>
    </row>
    <row r="40" spans="4:16" outlineLevel="1" x14ac:dyDescent="0.35">
      <c r="D40" s="239" t="s">
        <v>175</v>
      </c>
      <c r="J40" s="54">
        <f t="shared" si="1"/>
        <v>0</v>
      </c>
      <c r="K40" s="62"/>
      <c r="L40" s="62"/>
      <c r="M40" s="54"/>
      <c r="O40" s="58"/>
      <c r="P40" s="58">
        <f>'Distribution Estimate'!C9</f>
        <v>414182</v>
      </c>
    </row>
    <row r="41" spans="4:16" outlineLevel="1" x14ac:dyDescent="0.35">
      <c r="D41" s="239" t="s">
        <v>176</v>
      </c>
      <c r="J41" s="54">
        <f t="shared" si="1"/>
        <v>0</v>
      </c>
      <c r="K41" s="62"/>
      <c r="L41" s="62"/>
      <c r="M41" s="54"/>
      <c r="O41" s="58"/>
      <c r="P41" s="58">
        <f>'Distribution Estimate'!C10</f>
        <v>605831</v>
      </c>
    </row>
    <row r="42" spans="4:16" outlineLevel="1" x14ac:dyDescent="0.35">
      <c r="D42" s="239" t="s">
        <v>177</v>
      </c>
      <c r="J42" s="54">
        <f t="shared" si="1"/>
        <v>0</v>
      </c>
      <c r="K42" s="62"/>
      <c r="L42" s="62"/>
      <c r="M42" s="54"/>
      <c r="O42" s="58"/>
      <c r="P42" s="58">
        <f>'Distribution Estimate'!C11</f>
        <v>1020219.404</v>
      </c>
    </row>
    <row r="43" spans="4:16" outlineLevel="1" x14ac:dyDescent="0.35">
      <c r="D43" s="239" t="s">
        <v>178</v>
      </c>
      <c r="J43" s="54">
        <f t="shared" si="1"/>
        <v>0</v>
      </c>
      <c r="K43" s="62"/>
      <c r="L43" s="62"/>
      <c r="M43" s="54"/>
      <c r="O43" s="58"/>
      <c r="P43" s="58">
        <f>'Distribution Estimate'!C12</f>
        <v>1616027.5359360001</v>
      </c>
    </row>
    <row r="44" spans="4:16" outlineLevel="1" x14ac:dyDescent="0.35">
      <c r="D44" s="239" t="s">
        <v>179</v>
      </c>
      <c r="J44" s="54">
        <f t="shared" si="1"/>
        <v>0</v>
      </c>
      <c r="K44" s="62"/>
      <c r="L44" s="62"/>
      <c r="M44" s="54"/>
      <c r="O44" s="58"/>
      <c r="P44" s="58">
        <f>'Distribution Estimate'!C13</f>
        <v>2398184.8633290241</v>
      </c>
    </row>
    <row r="45" spans="4:16" outlineLevel="1" x14ac:dyDescent="0.35">
      <c r="D45" s="239" t="s">
        <v>180</v>
      </c>
      <c r="J45" s="54">
        <f t="shared" si="1"/>
        <v>0</v>
      </c>
      <c r="K45" s="62"/>
      <c r="L45" s="62"/>
      <c r="M45" s="54"/>
      <c r="O45" s="58"/>
      <c r="P45" s="58">
        <f>'Distribution Estimate'!C14</f>
        <v>3319087.8508473691</v>
      </c>
    </row>
    <row r="46" spans="4:16" outlineLevel="1" x14ac:dyDescent="0.35">
      <c r="D46" s="239" t="s">
        <v>181</v>
      </c>
      <c r="J46" s="54">
        <f t="shared" si="1"/>
        <v>0</v>
      </c>
      <c r="K46" s="62"/>
      <c r="L46" s="62"/>
      <c r="M46" s="54"/>
      <c r="P46" s="54">
        <f>'Distribution Estimate'!E8</f>
        <v>1</v>
      </c>
    </row>
    <row r="47" spans="4:16" outlineLevel="1" x14ac:dyDescent="0.35">
      <c r="D47" s="239" t="s">
        <v>181</v>
      </c>
      <c r="J47" s="54">
        <f t="shared" si="1"/>
        <v>0</v>
      </c>
      <c r="K47" s="62"/>
      <c r="L47" s="62"/>
      <c r="M47" s="54"/>
      <c r="P47" s="54">
        <f>'Distribution Estimate'!E9</f>
        <v>1</v>
      </c>
    </row>
    <row r="48" spans="4:16" outlineLevel="1" x14ac:dyDescent="0.35">
      <c r="D48" s="239" t="s">
        <v>182</v>
      </c>
      <c r="J48" s="54">
        <f t="shared" si="1"/>
        <v>0</v>
      </c>
      <c r="K48" s="62"/>
      <c r="L48" s="62"/>
      <c r="M48" s="54"/>
      <c r="P48" s="54">
        <f>'Distribution Estimate'!E10</f>
        <v>2</v>
      </c>
    </row>
    <row r="49" spans="2:17" outlineLevel="1" x14ac:dyDescent="0.35">
      <c r="D49" s="239" t="s">
        <v>183</v>
      </c>
      <c r="J49" s="54">
        <f t="shared" si="1"/>
        <v>0</v>
      </c>
      <c r="K49" s="62"/>
      <c r="L49" s="62"/>
      <c r="M49" s="54"/>
      <c r="P49" s="54">
        <f>'Distribution Estimate'!E11</f>
        <v>3</v>
      </c>
    </row>
    <row r="50" spans="2:17" outlineLevel="1" x14ac:dyDescent="0.35">
      <c r="D50" s="239" t="s">
        <v>184</v>
      </c>
      <c r="J50" s="54">
        <f t="shared" si="1"/>
        <v>0</v>
      </c>
      <c r="K50" s="62"/>
      <c r="L50" s="62"/>
      <c r="M50" s="54"/>
      <c r="P50" s="54">
        <f>'Distribution Estimate'!E12</f>
        <v>4</v>
      </c>
    </row>
    <row r="51" spans="2:17" outlineLevel="1" x14ac:dyDescent="0.35">
      <c r="D51" s="239" t="s">
        <v>185</v>
      </c>
      <c r="J51" s="54">
        <f t="shared" si="1"/>
        <v>0</v>
      </c>
      <c r="K51" s="62"/>
      <c r="L51" s="62"/>
      <c r="M51" s="54"/>
      <c r="P51" s="54">
        <f>'Distribution Estimate'!E13</f>
        <v>5</v>
      </c>
    </row>
    <row r="52" spans="2:17" outlineLevel="1" x14ac:dyDescent="0.35">
      <c r="D52" s="239" t="s">
        <v>186</v>
      </c>
      <c r="J52" s="54">
        <f t="shared" si="1"/>
        <v>0</v>
      </c>
      <c r="K52" s="62"/>
      <c r="L52" s="62"/>
      <c r="M52" s="54"/>
      <c r="P52" s="54">
        <f>'Distribution Estimate'!E14</f>
        <v>6</v>
      </c>
    </row>
    <row r="53" spans="2:17" ht="14.25" customHeight="1" x14ac:dyDescent="0.35">
      <c r="B53" s="52" t="s">
        <v>187</v>
      </c>
      <c r="E53" s="54" t="s">
        <v>157</v>
      </c>
      <c r="F53" s="54" t="s">
        <v>139</v>
      </c>
      <c r="G53" s="54" t="s">
        <v>140</v>
      </c>
      <c r="H53" s="54" t="s">
        <v>194</v>
      </c>
      <c r="I53" s="54">
        <v>1</v>
      </c>
      <c r="J53" s="54">
        <f t="shared" si="1"/>
        <v>365</v>
      </c>
      <c r="K53" s="62">
        <v>43539</v>
      </c>
      <c r="L53" s="62">
        <v>43640</v>
      </c>
      <c r="M53" s="62">
        <f>L53+J53</f>
        <v>44005</v>
      </c>
      <c r="N53" s="52">
        <f ca="1">M53-$T$3</f>
        <v>264</v>
      </c>
    </row>
    <row r="54" spans="2:17" outlineLevel="1" x14ac:dyDescent="0.35">
      <c r="C54" s="54" t="s">
        <v>188</v>
      </c>
      <c r="J54" s="54">
        <f t="shared" si="1"/>
        <v>0</v>
      </c>
      <c r="K54" s="62"/>
      <c r="L54" s="62"/>
      <c r="M54" s="54"/>
      <c r="O54" s="58">
        <v>1617000</v>
      </c>
      <c r="P54" s="58">
        <v>3000000</v>
      </c>
    </row>
    <row r="55" spans="2:17" outlineLevel="1" x14ac:dyDescent="0.35">
      <c r="C55" s="54" t="s">
        <v>189</v>
      </c>
      <c r="J55" s="54">
        <f t="shared" si="1"/>
        <v>0</v>
      </c>
      <c r="K55" s="62"/>
      <c r="L55" s="62"/>
      <c r="M55" s="54"/>
      <c r="O55" s="58">
        <v>957000</v>
      </c>
      <c r="P55" s="58">
        <v>1000000</v>
      </c>
    </row>
    <row r="56" spans="2:17" x14ac:dyDescent="0.35">
      <c r="B56" s="52" t="s">
        <v>190</v>
      </c>
      <c r="E56" s="54" t="s">
        <v>157</v>
      </c>
      <c r="F56" s="54" t="s">
        <v>191</v>
      </c>
      <c r="G56" s="54" t="s">
        <v>192</v>
      </c>
      <c r="H56" s="54" t="s">
        <v>194</v>
      </c>
      <c r="I56" s="54">
        <v>2</v>
      </c>
      <c r="J56" s="54">
        <f t="shared" si="1"/>
        <v>730</v>
      </c>
      <c r="K56" s="62">
        <v>43539</v>
      </c>
      <c r="L56" s="62">
        <v>43646</v>
      </c>
      <c r="M56" s="62">
        <f>L56+J56</f>
        <v>44376</v>
      </c>
      <c r="N56" s="52">
        <f ca="1">M56-$T$3</f>
        <v>635</v>
      </c>
    </row>
    <row r="57" spans="2:17" outlineLevel="1" x14ac:dyDescent="0.35">
      <c r="C57" s="54" t="s">
        <v>164</v>
      </c>
      <c r="J57" s="54">
        <f t="shared" si="1"/>
        <v>0</v>
      </c>
      <c r="K57" s="62"/>
      <c r="L57" s="62"/>
      <c r="M57" s="54"/>
      <c r="O57" s="415"/>
      <c r="P57" s="415">
        <f>'Distribution Estimate'!I15</f>
        <v>0.15</v>
      </c>
    </row>
    <row r="58" spans="2:17" outlineLevel="1" x14ac:dyDescent="0.35">
      <c r="C58" s="54" t="s">
        <v>159</v>
      </c>
      <c r="J58" s="54">
        <f t="shared" si="1"/>
        <v>0</v>
      </c>
      <c r="K58" s="62"/>
      <c r="L58" s="62"/>
      <c r="M58" s="54"/>
      <c r="O58" s="415"/>
      <c r="P58" s="415">
        <f>'Distribution Estimate'!L19</f>
        <v>0.15</v>
      </c>
    </row>
    <row r="59" spans="2:17" x14ac:dyDescent="0.35">
      <c r="B59" s="52" t="s">
        <v>193</v>
      </c>
      <c r="E59" s="54" t="s">
        <v>55</v>
      </c>
      <c r="F59" s="54" t="s">
        <v>83</v>
      </c>
      <c r="G59" s="54" t="s">
        <v>194</v>
      </c>
      <c r="H59" s="54" t="s">
        <v>194</v>
      </c>
      <c r="I59" s="54">
        <v>0.5</v>
      </c>
      <c r="J59" s="54">
        <f t="shared" si="1"/>
        <v>182.5</v>
      </c>
      <c r="K59" s="62">
        <v>43539</v>
      </c>
      <c r="L59" s="62">
        <v>43646</v>
      </c>
      <c r="M59" s="62">
        <f>L59+J59</f>
        <v>43828.5</v>
      </c>
      <c r="N59" s="52">
        <f ca="1">M59-$T$3</f>
        <v>87.5</v>
      </c>
      <c r="O59" s="58">
        <v>200</v>
      </c>
      <c r="P59" s="58">
        <v>109</v>
      </c>
      <c r="Q59" s="54" t="s">
        <v>305</v>
      </c>
    </row>
    <row r="60" spans="2:17" x14ac:dyDescent="0.35">
      <c r="B60" s="52" t="s">
        <v>195</v>
      </c>
      <c r="E60" s="54" t="s">
        <v>55</v>
      </c>
      <c r="F60" s="54" t="s">
        <v>70</v>
      </c>
      <c r="G60" s="54" t="s">
        <v>196</v>
      </c>
      <c r="H60" s="54" t="s">
        <v>194</v>
      </c>
      <c r="I60" s="54">
        <v>2</v>
      </c>
      <c r="J60" s="54">
        <f t="shared" si="1"/>
        <v>730</v>
      </c>
      <c r="K60" s="62">
        <v>43539</v>
      </c>
      <c r="L60" s="62">
        <v>43646</v>
      </c>
      <c r="M60" s="62">
        <f>L60+J60</f>
        <v>44376</v>
      </c>
      <c r="N60" s="52">
        <f ca="1">M60-$T$3</f>
        <v>635</v>
      </c>
      <c r="P60" s="54">
        <f>Assumptions!C43</f>
        <v>30</v>
      </c>
    </row>
    <row r="61" spans="2:17" x14ac:dyDescent="0.35">
      <c r="B61" s="52" t="s">
        <v>197</v>
      </c>
      <c r="E61" s="54" t="s">
        <v>55</v>
      </c>
      <c r="F61" s="54" t="s">
        <v>198</v>
      </c>
      <c r="G61" s="54" t="s">
        <v>199</v>
      </c>
      <c r="H61" s="54" t="s">
        <v>194</v>
      </c>
      <c r="I61" s="54">
        <v>1</v>
      </c>
      <c r="J61" s="54">
        <f t="shared" si="1"/>
        <v>365</v>
      </c>
      <c r="K61" s="62">
        <v>43539</v>
      </c>
      <c r="L61" s="62">
        <v>43465</v>
      </c>
      <c r="M61" s="62">
        <f>L61+J61</f>
        <v>43830</v>
      </c>
      <c r="N61" s="52">
        <f ca="1">M61-$T$3</f>
        <v>89</v>
      </c>
      <c r="Q61" s="416" t="s">
        <v>200</v>
      </c>
    </row>
    <row r="62" spans="2:17" outlineLevel="1" x14ac:dyDescent="0.35">
      <c r="C62" s="54" t="s">
        <v>67</v>
      </c>
      <c r="L62" s="62"/>
      <c r="O62" s="417">
        <v>0.01</v>
      </c>
      <c r="P62" s="417">
        <f>Assumptions!C36</f>
        <v>0.1225</v>
      </c>
    </row>
    <row r="63" spans="2:17" outlineLevel="1" x14ac:dyDescent="0.35">
      <c r="C63" s="54" t="s">
        <v>201</v>
      </c>
      <c r="L63" s="62"/>
      <c r="O63" s="417">
        <v>0.4</v>
      </c>
      <c r="P63" s="417">
        <f>Assumptions!C37</f>
        <v>0.4</v>
      </c>
    </row>
    <row r="64" spans="2:17" outlineLevel="1" x14ac:dyDescent="0.35">
      <c r="C64" s="54" t="s">
        <v>69</v>
      </c>
      <c r="O64" s="417">
        <v>3.5000000000000003E-2</v>
      </c>
      <c r="P64" s="417">
        <f>Assumptions!C39</f>
        <v>3.5000000000000003E-2</v>
      </c>
    </row>
    <row r="65" spans="3:16" outlineLevel="1" x14ac:dyDescent="0.35">
      <c r="C65" s="54" t="s">
        <v>202</v>
      </c>
      <c r="O65" s="417">
        <v>0.6</v>
      </c>
      <c r="P65" s="417">
        <f>Assumptions!C40</f>
        <v>0.6</v>
      </c>
    </row>
    <row r="67" spans="3:16" x14ac:dyDescent="0.35">
      <c r="G67" s="418"/>
      <c r="H67" s="418"/>
      <c r="I67" s="418"/>
    </row>
  </sheetData>
  <conditionalFormatting sqref="N4:N5 N59:N61 N56 N53 N19">
    <cfRule type="cellIs" dxfId="2" priority="1" operator="lessThan">
      <formula>30</formula>
    </cfRule>
    <cfRule type="cellIs" dxfId="1" priority="2" operator="between">
      <formula>30</formula>
      <formula>90</formula>
    </cfRule>
    <cfRule type="cellIs" dxfId="0" priority="3" operator="greaterThan">
      <formula>90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002060"/>
  </sheetPr>
  <dimension ref="A2:T32"/>
  <sheetViews>
    <sheetView zoomScale="90" zoomScaleNormal="90" workbookViewId="0">
      <selection activeCell="D23" sqref="D23"/>
    </sheetView>
  </sheetViews>
  <sheetFormatPr defaultColWidth="9.1796875" defaultRowHeight="14.5" x14ac:dyDescent="0.35"/>
  <cols>
    <col min="1" max="1" width="3.26953125" style="339" bestFit="1" customWidth="1"/>
    <col min="2" max="2" width="8.7265625" style="340" bestFit="1" customWidth="1"/>
    <col min="3" max="3" width="11" style="339" customWidth="1"/>
    <col min="4" max="4" width="12" style="339" customWidth="1"/>
    <col min="5" max="5" width="12.7265625" style="339" customWidth="1"/>
    <col min="6" max="6" width="11.54296875" style="339" bestFit="1" customWidth="1"/>
    <col min="7" max="7" width="1.7265625" style="54" customWidth="1"/>
    <col min="8" max="8" width="7.26953125" style="339" bestFit="1" customWidth="1"/>
    <col min="9" max="9" width="12.81640625" style="339" bestFit="1" customWidth="1"/>
    <col min="10" max="10" width="12.1796875" style="339" bestFit="1" customWidth="1"/>
    <col min="11" max="11" width="12.1796875" style="339" customWidth="1"/>
    <col min="12" max="12" width="1.81640625" style="54" customWidth="1"/>
    <col min="13" max="13" width="13.26953125" style="339" customWidth="1"/>
    <col min="14" max="14" width="15.54296875" style="339" customWidth="1"/>
    <col min="15" max="15" width="13.1796875" style="339" customWidth="1"/>
    <col min="16" max="16" width="17" style="339" customWidth="1"/>
    <col min="17" max="17" width="18.54296875" style="339" customWidth="1"/>
    <col min="18" max="18" width="12.453125" style="339" bestFit="1" customWidth="1"/>
    <col min="19" max="19" width="12.7265625" style="339" customWidth="1"/>
    <col min="20" max="20" width="12.81640625" style="339" customWidth="1"/>
    <col min="21" max="21" width="9.1796875" style="339"/>
    <col min="22" max="22" width="18.26953125" style="339" customWidth="1"/>
    <col min="23" max="16384" width="9.1796875" style="339"/>
  </cols>
  <sheetData>
    <row r="2" spans="1:20" x14ac:dyDescent="0.35">
      <c r="D2" s="280" t="s">
        <v>354</v>
      </c>
      <c r="E2" s="282">
        <f>Max_Transmission_Distance</f>
        <v>5</v>
      </c>
      <c r="F2" s="284" t="s">
        <v>259</v>
      </c>
      <c r="I2" s="280" t="s">
        <v>220</v>
      </c>
      <c r="J2" s="283">
        <f>Substation_cost_per_Useable_MVA</f>
        <v>145975</v>
      </c>
      <c r="K2" s="284" t="s">
        <v>267</v>
      </c>
      <c r="N2" s="280" t="s">
        <v>350</v>
      </c>
      <c r="O2" s="285">
        <f>Maximum_Load</f>
        <v>40</v>
      </c>
      <c r="P2" s="284" t="s">
        <v>61</v>
      </c>
      <c r="Q2" s="280" t="str">
        <f>Years_to_Full_Load&amp;" Years O&amp;M"</f>
        <v>7 Years O&amp;M</v>
      </c>
      <c r="R2" s="283">
        <f>Annual_O_M*(Maximum_Load-'Distance Adjustment'!J13)*Years_to_Full_Load</f>
        <v>28936.774999999998</v>
      </c>
    </row>
    <row r="3" spans="1:20" x14ac:dyDescent="0.35">
      <c r="D3" s="280" t="s">
        <v>348</v>
      </c>
      <c r="E3" s="282">
        <f>Years_to_Full_Load</f>
        <v>7</v>
      </c>
      <c r="F3" s="284" t="s">
        <v>72</v>
      </c>
      <c r="I3" s="280" t="s">
        <v>257</v>
      </c>
      <c r="J3" s="283">
        <f>Total_Substation_Base_Capital</f>
        <v>5839000</v>
      </c>
      <c r="K3" s="284" t="s">
        <v>359</v>
      </c>
      <c r="N3" s="280" t="s">
        <v>120</v>
      </c>
      <c r="O3" s="285">
        <f>Nomination</f>
        <v>3</v>
      </c>
      <c r="P3" s="284" t="s">
        <v>61</v>
      </c>
    </row>
    <row r="4" spans="1:20" x14ac:dyDescent="0.35">
      <c r="D4" s="341" t="s">
        <v>337</v>
      </c>
      <c r="E4" s="342">
        <v>0.5</v>
      </c>
      <c r="F4" s="339" t="s">
        <v>259</v>
      </c>
      <c r="I4" s="280" t="s">
        <v>345</v>
      </c>
      <c r="J4" s="281">
        <f>Years_to_Full_Load/Life_of_Assets</f>
        <v>0.23333333333333334</v>
      </c>
      <c r="N4" s="280" t="s">
        <v>258</v>
      </c>
      <c r="O4" s="285">
        <f>Unallocated_Capacity</f>
        <v>37</v>
      </c>
      <c r="P4" s="284" t="s">
        <v>61</v>
      </c>
    </row>
    <row r="5" spans="1:20" x14ac:dyDescent="0.35">
      <c r="E5" s="341"/>
      <c r="F5" s="343"/>
      <c r="H5" s="343"/>
      <c r="I5" s="343"/>
      <c r="J5" s="343"/>
      <c r="K5" s="252"/>
    </row>
    <row r="6" spans="1:20" ht="15" thickBot="1" x14ac:dyDescent="0.4">
      <c r="H6" s="343"/>
      <c r="I6" s="343"/>
      <c r="J6" s="343"/>
      <c r="K6" s="343"/>
      <c r="M6" s="54"/>
      <c r="N6" s="54"/>
      <c r="O6" s="54"/>
      <c r="P6" s="54"/>
      <c r="Q6" s="54"/>
      <c r="R6" s="54"/>
      <c r="S6" s="54"/>
      <c r="T6" s="54"/>
    </row>
    <row r="7" spans="1:20" ht="15" thickTop="1" x14ac:dyDescent="0.35">
      <c r="C7" s="344" t="s">
        <v>264</v>
      </c>
      <c r="D7" s="345"/>
      <c r="E7" s="345"/>
      <c r="F7" s="346"/>
      <c r="H7" s="347" t="s">
        <v>120</v>
      </c>
      <c r="I7" s="348"/>
      <c r="J7" s="348"/>
      <c r="K7" s="349"/>
      <c r="M7" s="350" t="s">
        <v>258</v>
      </c>
      <c r="N7" s="351"/>
      <c r="O7" s="352"/>
      <c r="P7" s="353"/>
      <c r="Q7" s="353"/>
      <c r="R7" s="353"/>
      <c r="S7" s="353"/>
      <c r="T7" s="354"/>
    </row>
    <row r="8" spans="1:20" s="355" customFormat="1" ht="49.5" customHeight="1" x14ac:dyDescent="0.35">
      <c r="B8" s="356" t="s">
        <v>79</v>
      </c>
      <c r="C8" s="357" t="s">
        <v>263</v>
      </c>
      <c r="D8" s="357" t="s">
        <v>352</v>
      </c>
      <c r="E8" s="357" t="s">
        <v>353</v>
      </c>
      <c r="F8" s="357" t="s">
        <v>261</v>
      </c>
      <c r="G8" s="54"/>
      <c r="H8" s="358" t="s">
        <v>338</v>
      </c>
      <c r="I8" s="359" t="s">
        <v>335</v>
      </c>
      <c r="J8" s="359" t="s">
        <v>310</v>
      </c>
      <c r="K8" s="360" t="s">
        <v>336</v>
      </c>
      <c r="L8" s="54"/>
      <c r="M8" s="361" t="s">
        <v>329</v>
      </c>
      <c r="N8" s="362" t="s">
        <v>344</v>
      </c>
      <c r="O8" s="363" t="s">
        <v>330</v>
      </c>
      <c r="P8" s="364" t="s">
        <v>331</v>
      </c>
      <c r="Q8" s="364" t="s">
        <v>332</v>
      </c>
      <c r="R8" s="364" t="s">
        <v>333</v>
      </c>
      <c r="S8" s="364" t="s">
        <v>252</v>
      </c>
      <c r="T8" s="365" t="s">
        <v>287</v>
      </c>
    </row>
    <row r="9" spans="1:20" s="355" customFormat="1" x14ac:dyDescent="0.35">
      <c r="B9" s="356" t="s">
        <v>269</v>
      </c>
      <c r="C9" s="357" t="s">
        <v>270</v>
      </c>
      <c r="D9" s="357" t="s">
        <v>271</v>
      </c>
      <c r="E9" s="357" t="s">
        <v>312</v>
      </c>
      <c r="F9" s="357" t="s">
        <v>313</v>
      </c>
      <c r="G9" s="54"/>
      <c r="H9" s="366" t="s">
        <v>314</v>
      </c>
      <c r="I9" s="367" t="s">
        <v>339</v>
      </c>
      <c r="J9" s="367" t="s">
        <v>340</v>
      </c>
      <c r="K9" s="368" t="s">
        <v>341</v>
      </c>
      <c r="L9" s="54"/>
      <c r="M9" s="369" t="s">
        <v>315</v>
      </c>
      <c r="N9" s="363" t="s">
        <v>316</v>
      </c>
      <c r="O9" s="363" t="s">
        <v>317</v>
      </c>
      <c r="P9" s="363" t="s">
        <v>318</v>
      </c>
      <c r="Q9" s="363" t="s">
        <v>319</v>
      </c>
      <c r="R9" s="363" t="s">
        <v>323</v>
      </c>
      <c r="S9" s="363" t="s">
        <v>324</v>
      </c>
      <c r="T9" s="370" t="s">
        <v>325</v>
      </c>
    </row>
    <row r="10" spans="1:20" s="355" customFormat="1" ht="31.5" customHeight="1" x14ac:dyDescent="0.35">
      <c r="B10" s="371"/>
      <c r="C10" s="372" t="s">
        <v>328</v>
      </c>
      <c r="D10" s="372"/>
      <c r="E10" s="372" t="s">
        <v>334</v>
      </c>
      <c r="F10" s="372" t="s">
        <v>327</v>
      </c>
      <c r="G10" s="54"/>
      <c r="H10" s="373"/>
      <c r="I10" s="374" t="s">
        <v>326</v>
      </c>
      <c r="J10" s="374" t="s">
        <v>342</v>
      </c>
      <c r="K10" s="375" t="s">
        <v>349</v>
      </c>
      <c r="L10" s="54"/>
      <c r="M10" s="376" t="s">
        <v>343</v>
      </c>
      <c r="N10" s="377" t="s">
        <v>351</v>
      </c>
      <c r="O10" s="377" t="s">
        <v>346</v>
      </c>
      <c r="P10" s="377" t="s">
        <v>355</v>
      </c>
      <c r="Q10" s="377" t="s">
        <v>356</v>
      </c>
      <c r="R10" s="377" t="s">
        <v>357</v>
      </c>
      <c r="S10" s="363" t="str">
        <f>Years_to_Full_Load&amp;" Years O&amp;M * (1 - b)"</f>
        <v>7 Years O&amp;M * (1 - b)</v>
      </c>
      <c r="T10" s="378" t="s">
        <v>358</v>
      </c>
    </row>
    <row r="11" spans="1:20" s="355" customFormat="1" x14ac:dyDescent="0.35">
      <c r="B11" s="379" t="s">
        <v>311</v>
      </c>
      <c r="C11" s="380" t="s">
        <v>311</v>
      </c>
      <c r="D11" s="380" t="s">
        <v>311</v>
      </c>
      <c r="E11" s="380" t="s">
        <v>311</v>
      </c>
      <c r="F11" s="380" t="s">
        <v>347</v>
      </c>
      <c r="G11" s="54"/>
      <c r="H11" s="381" t="s">
        <v>311</v>
      </c>
      <c r="I11" s="382" t="s">
        <v>347</v>
      </c>
      <c r="J11" s="382" t="s">
        <v>347</v>
      </c>
      <c r="K11" s="383" t="s">
        <v>347</v>
      </c>
      <c r="L11" s="54"/>
      <c r="M11" s="384" t="s">
        <v>347</v>
      </c>
      <c r="N11" s="385" t="s">
        <v>347</v>
      </c>
      <c r="O11" s="385" t="s">
        <v>347</v>
      </c>
      <c r="P11" s="385" t="s">
        <v>347</v>
      </c>
      <c r="Q11" s="385" t="s">
        <v>347</v>
      </c>
      <c r="R11" s="385" t="s">
        <v>347</v>
      </c>
      <c r="S11" s="377" t="s">
        <v>311</v>
      </c>
      <c r="T11" s="386" t="s">
        <v>347</v>
      </c>
    </row>
    <row r="12" spans="1:20" s="397" customFormat="1" x14ac:dyDescent="0.35">
      <c r="A12" s="387"/>
      <c r="B12" s="388" t="s">
        <v>256</v>
      </c>
      <c r="C12" s="389" t="s">
        <v>260</v>
      </c>
      <c r="D12" s="389" t="s">
        <v>260</v>
      </c>
      <c r="E12" s="389" t="s">
        <v>260</v>
      </c>
      <c r="F12" s="389" t="s">
        <v>260</v>
      </c>
      <c r="G12" s="54"/>
      <c r="H12" s="390" t="s">
        <v>61</v>
      </c>
      <c r="I12" s="391" t="s">
        <v>61</v>
      </c>
      <c r="J12" s="391" t="s">
        <v>61</v>
      </c>
      <c r="K12" s="392" t="s">
        <v>215</v>
      </c>
      <c r="L12" s="54"/>
      <c r="M12" s="393" t="s">
        <v>215</v>
      </c>
      <c r="N12" s="394" t="s">
        <v>61</v>
      </c>
      <c r="O12" s="395" t="s">
        <v>215</v>
      </c>
      <c r="P12" s="395" t="s">
        <v>215</v>
      </c>
      <c r="Q12" s="395" t="s">
        <v>215</v>
      </c>
      <c r="R12" s="395" t="s">
        <v>215</v>
      </c>
      <c r="S12" s="395" t="s">
        <v>215</v>
      </c>
      <c r="T12" s="396"/>
    </row>
    <row r="13" spans="1:20" x14ac:dyDescent="0.35">
      <c r="A13" s="398"/>
      <c r="B13" s="399">
        <v>0</v>
      </c>
      <c r="C13" s="286">
        <f t="shared" ref="C13:C23" si="0">B13/Max_Transmission_Distance</f>
        <v>0</v>
      </c>
      <c r="D13" s="400">
        <f>(Life_of_Assets-Years_to_Full_Load)/Max_Transmission_Distance*'Distance Adjustment'!B13+Years_to_Full_Load</f>
        <v>7</v>
      </c>
      <c r="E13" s="286">
        <f t="shared" ref="E13:E23" si="1">D13/Life_of_Assets</f>
        <v>0.23333333333333334</v>
      </c>
      <c r="F13" s="286">
        <f t="shared" ref="F13:F23" si="2">C13*E13</f>
        <v>0</v>
      </c>
      <c r="H13" s="267">
        <f t="shared" ref="H13:H23" si="3">Nomination</f>
        <v>3</v>
      </c>
      <c r="I13" s="265">
        <f t="shared" ref="I13:I23" si="4">Unallocated_Capacity*F13</f>
        <v>0</v>
      </c>
      <c r="J13" s="265">
        <f>SUM(H13:I13)</f>
        <v>3</v>
      </c>
      <c r="K13" s="268">
        <f>Substation_cost_per_Useable_MVA*'Distance Adjustment'!J13</f>
        <v>437925</v>
      </c>
      <c r="M13" s="274">
        <f t="shared" ref="M13:M23" si="5">Substation_Total_Capital-K13</f>
        <v>5401075</v>
      </c>
      <c r="N13" s="277">
        <f>(Maximum_Load-'Distance Adjustment'!J13)*Capture_Ratio</f>
        <v>8.6333333333333329</v>
      </c>
      <c r="O13" s="253">
        <f t="shared" ref="O13:O23" si="6">M13*Capture_Ratio</f>
        <v>1260250.8333333333</v>
      </c>
      <c r="P13" s="254">
        <f t="shared" ref="P13:P23" si="7">$O13*Years_to_Full_Load*Debt_Interest_Rate</f>
        <v>185256.8725</v>
      </c>
      <c r="Q13" s="255">
        <f t="shared" ref="Q13:Q23" si="8">$O13*Years_to_Full_Load*Equity_Return</f>
        <v>432266.03583333327</v>
      </c>
      <c r="R13" s="401">
        <f>SUM(P13:Q13)</f>
        <v>617522.90833333321</v>
      </c>
      <c r="S13" s="402">
        <f t="shared" ref="S13:S23" si="9">YTFL_O_M*(1-C13)</f>
        <v>28936.774999999998</v>
      </c>
      <c r="T13" s="256">
        <f>O13+R13+S13</f>
        <v>1906710.5166666664</v>
      </c>
    </row>
    <row r="14" spans="1:20" x14ac:dyDescent="0.35">
      <c r="A14" s="403"/>
      <c r="B14" s="404">
        <f t="shared" ref="B14:B23" si="10">B13+$E$4</f>
        <v>0.5</v>
      </c>
      <c r="C14" s="287">
        <f t="shared" si="0"/>
        <v>0.1</v>
      </c>
      <c r="D14" s="405">
        <f>(Life_of_Assets-Years_to_Full_Load)/Max_Transmission_Distance*'Distance Adjustment'!B14+Years_to_Full_Load</f>
        <v>9.3000000000000007</v>
      </c>
      <c r="E14" s="287">
        <f t="shared" si="1"/>
        <v>0.31</v>
      </c>
      <c r="F14" s="287">
        <f t="shared" si="2"/>
        <v>3.1E-2</v>
      </c>
      <c r="H14" s="269">
        <f t="shared" si="3"/>
        <v>3</v>
      </c>
      <c r="I14" s="266">
        <f t="shared" si="4"/>
        <v>1.147</v>
      </c>
      <c r="J14" s="266">
        <f t="shared" ref="J14:J23" si="11">SUM(H14:I14)</f>
        <v>4.1470000000000002</v>
      </c>
      <c r="K14" s="270">
        <f>Substation_cost_per_Useable_MVA*'Distance Adjustment'!J14</f>
        <v>605358.32500000007</v>
      </c>
      <c r="M14" s="275">
        <f t="shared" si="5"/>
        <v>5233641.6749999998</v>
      </c>
      <c r="N14" s="278">
        <f>(Maximum_Load-'Distance Adjustment'!J14)*Capture_Ratio</f>
        <v>8.3657000000000004</v>
      </c>
      <c r="O14" s="257">
        <f t="shared" si="6"/>
        <v>1221183.0574999999</v>
      </c>
      <c r="P14" s="258">
        <f t="shared" si="7"/>
        <v>179513.9094525</v>
      </c>
      <c r="Q14" s="259">
        <f t="shared" si="8"/>
        <v>418865.78872250003</v>
      </c>
      <c r="R14" s="406">
        <f t="shared" ref="R14:R22" si="12">SUM(P14:Q14)</f>
        <v>598379.69817500003</v>
      </c>
      <c r="S14" s="407">
        <f t="shared" si="9"/>
        <v>26043.0975</v>
      </c>
      <c r="T14" s="260">
        <f t="shared" ref="T14:T23" si="13">O14+R14+S14</f>
        <v>1845605.8531749998</v>
      </c>
    </row>
    <row r="15" spans="1:20" x14ac:dyDescent="0.35">
      <c r="A15" s="398"/>
      <c r="B15" s="408">
        <f t="shared" si="10"/>
        <v>1</v>
      </c>
      <c r="C15" s="287">
        <f t="shared" si="0"/>
        <v>0.2</v>
      </c>
      <c r="D15" s="405">
        <f>(Life_of_Assets-Years_to_Full_Load)/Max_Transmission_Distance*'Distance Adjustment'!B15+Years_to_Full_Load</f>
        <v>11.6</v>
      </c>
      <c r="E15" s="287">
        <f t="shared" si="1"/>
        <v>0.38666666666666666</v>
      </c>
      <c r="F15" s="287">
        <f t="shared" si="2"/>
        <v>7.7333333333333337E-2</v>
      </c>
      <c r="H15" s="269">
        <f t="shared" si="3"/>
        <v>3</v>
      </c>
      <c r="I15" s="266">
        <f t="shared" si="4"/>
        <v>2.8613333333333335</v>
      </c>
      <c r="J15" s="266">
        <f t="shared" si="11"/>
        <v>5.8613333333333335</v>
      </c>
      <c r="K15" s="270">
        <f>Substation_cost_per_Useable_MVA*'Distance Adjustment'!J15</f>
        <v>855608.1333333333</v>
      </c>
      <c r="M15" s="275">
        <f t="shared" si="5"/>
        <v>4983391.8666666672</v>
      </c>
      <c r="N15" s="278">
        <f>(Maximum_Load-'Distance Adjustment'!J15)*Capture_Ratio</f>
        <v>7.9656888888888888</v>
      </c>
      <c r="O15" s="257">
        <f t="shared" si="6"/>
        <v>1162791.4355555556</v>
      </c>
      <c r="P15" s="258">
        <f t="shared" si="7"/>
        <v>170930.34102666669</v>
      </c>
      <c r="Q15" s="259">
        <f t="shared" si="8"/>
        <v>398837.46239555557</v>
      </c>
      <c r="R15" s="406">
        <f t="shared" si="12"/>
        <v>569767.80342222226</v>
      </c>
      <c r="S15" s="407">
        <f t="shared" si="9"/>
        <v>23149.42</v>
      </c>
      <c r="T15" s="260">
        <f t="shared" si="13"/>
        <v>1755708.6589777777</v>
      </c>
    </row>
    <row r="16" spans="1:20" x14ac:dyDescent="0.35">
      <c r="A16" s="398"/>
      <c r="B16" s="408">
        <f t="shared" si="10"/>
        <v>1.5</v>
      </c>
      <c r="C16" s="287">
        <f t="shared" si="0"/>
        <v>0.3</v>
      </c>
      <c r="D16" s="405">
        <f>(Life_of_Assets-Years_to_Full_Load)/Max_Transmission_Distance*'Distance Adjustment'!B16+Years_to_Full_Load</f>
        <v>13.899999999999999</v>
      </c>
      <c r="E16" s="287">
        <f t="shared" si="1"/>
        <v>0.46333333333333326</v>
      </c>
      <c r="F16" s="287">
        <f t="shared" si="2"/>
        <v>0.13899999999999998</v>
      </c>
      <c r="H16" s="269">
        <f t="shared" si="3"/>
        <v>3</v>
      </c>
      <c r="I16" s="266">
        <f t="shared" si="4"/>
        <v>5.1429999999999998</v>
      </c>
      <c r="J16" s="266">
        <f t="shared" si="11"/>
        <v>8.1430000000000007</v>
      </c>
      <c r="K16" s="270">
        <f>Substation_cost_per_Useable_MVA*'Distance Adjustment'!J16</f>
        <v>1188674.425</v>
      </c>
      <c r="M16" s="275">
        <f t="shared" si="5"/>
        <v>4650325.5750000002</v>
      </c>
      <c r="N16" s="278">
        <f>(Maximum_Load-'Distance Adjustment'!J16)*Capture_Ratio</f>
        <v>7.4333</v>
      </c>
      <c r="O16" s="257">
        <f t="shared" si="6"/>
        <v>1085075.9675</v>
      </c>
      <c r="P16" s="258">
        <f t="shared" si="7"/>
        <v>159506.16722250002</v>
      </c>
      <c r="Q16" s="259">
        <f t="shared" si="8"/>
        <v>372181.05685250001</v>
      </c>
      <c r="R16" s="406">
        <f t="shared" si="12"/>
        <v>531687.22407500003</v>
      </c>
      <c r="S16" s="407">
        <f t="shared" si="9"/>
        <v>20255.742499999997</v>
      </c>
      <c r="T16" s="260">
        <f t="shared" si="13"/>
        <v>1637018.934075</v>
      </c>
    </row>
    <row r="17" spans="1:20" x14ac:dyDescent="0.35">
      <c r="A17" s="398"/>
      <c r="B17" s="408">
        <f t="shared" si="10"/>
        <v>2</v>
      </c>
      <c r="C17" s="287">
        <f t="shared" si="0"/>
        <v>0.4</v>
      </c>
      <c r="D17" s="405">
        <f>(Life_of_Assets-Years_to_Full_Load)/Max_Transmission_Distance*'Distance Adjustment'!B17+Years_to_Full_Load</f>
        <v>16.2</v>
      </c>
      <c r="E17" s="287">
        <f t="shared" si="1"/>
        <v>0.53999999999999992</v>
      </c>
      <c r="F17" s="287">
        <f t="shared" si="2"/>
        <v>0.21599999999999997</v>
      </c>
      <c r="H17" s="269">
        <f t="shared" si="3"/>
        <v>3</v>
      </c>
      <c r="I17" s="266">
        <f t="shared" si="4"/>
        <v>7.9919999999999991</v>
      </c>
      <c r="J17" s="266">
        <f t="shared" si="11"/>
        <v>10.991999999999999</v>
      </c>
      <c r="K17" s="270">
        <f>Substation_cost_per_Useable_MVA*'Distance Adjustment'!J17</f>
        <v>1604557.2</v>
      </c>
      <c r="M17" s="275">
        <f t="shared" si="5"/>
        <v>4234442.8</v>
      </c>
      <c r="N17" s="278">
        <f>(Maximum_Load-'Distance Adjustment'!J17)*Capture_Ratio</f>
        <v>6.768533333333334</v>
      </c>
      <c r="O17" s="257">
        <f t="shared" si="6"/>
        <v>988036.65333333332</v>
      </c>
      <c r="P17" s="258">
        <f t="shared" si="7"/>
        <v>145241.38804000002</v>
      </c>
      <c r="Q17" s="259">
        <f t="shared" si="8"/>
        <v>338896.57209333335</v>
      </c>
      <c r="R17" s="406">
        <f t="shared" si="12"/>
        <v>484137.96013333334</v>
      </c>
      <c r="S17" s="407">
        <f t="shared" si="9"/>
        <v>17362.064999999999</v>
      </c>
      <c r="T17" s="260">
        <f t="shared" si="13"/>
        <v>1489536.6784666665</v>
      </c>
    </row>
    <row r="18" spans="1:20" x14ac:dyDescent="0.35">
      <c r="A18" s="398"/>
      <c r="B18" s="408">
        <f t="shared" si="10"/>
        <v>2.5</v>
      </c>
      <c r="C18" s="287">
        <f t="shared" si="0"/>
        <v>0.5</v>
      </c>
      <c r="D18" s="405">
        <f>(Life_of_Assets-Years_to_Full_Load)/Max_Transmission_Distance*'Distance Adjustment'!B18+Years_to_Full_Load</f>
        <v>18.5</v>
      </c>
      <c r="E18" s="287">
        <f t="shared" si="1"/>
        <v>0.6166666666666667</v>
      </c>
      <c r="F18" s="287">
        <f t="shared" si="2"/>
        <v>0.30833333333333335</v>
      </c>
      <c r="H18" s="269">
        <f t="shared" si="3"/>
        <v>3</v>
      </c>
      <c r="I18" s="266">
        <f t="shared" si="4"/>
        <v>11.408333333333333</v>
      </c>
      <c r="J18" s="266">
        <f t="shared" si="11"/>
        <v>14.408333333333333</v>
      </c>
      <c r="K18" s="270">
        <f>Substation_cost_per_Useable_MVA*'Distance Adjustment'!J18</f>
        <v>2103256.4583333335</v>
      </c>
      <c r="M18" s="275">
        <f t="shared" si="5"/>
        <v>3735743.5416666665</v>
      </c>
      <c r="N18" s="278">
        <f>(Maximum_Load-'Distance Adjustment'!J18)*Capture_Ratio</f>
        <v>5.9713888888888897</v>
      </c>
      <c r="O18" s="257">
        <f t="shared" si="6"/>
        <v>871673.4930555555</v>
      </c>
      <c r="P18" s="258">
        <f t="shared" si="7"/>
        <v>128136.00347916665</v>
      </c>
      <c r="Q18" s="259">
        <f t="shared" si="8"/>
        <v>298984.00811805553</v>
      </c>
      <c r="R18" s="406">
        <f t="shared" si="12"/>
        <v>427120.01159722218</v>
      </c>
      <c r="S18" s="407">
        <f t="shared" si="9"/>
        <v>14468.387499999999</v>
      </c>
      <c r="T18" s="260">
        <f t="shared" si="13"/>
        <v>1313261.8921527776</v>
      </c>
    </row>
    <row r="19" spans="1:20" x14ac:dyDescent="0.35">
      <c r="A19" s="398"/>
      <c r="B19" s="408">
        <f t="shared" si="10"/>
        <v>3</v>
      </c>
      <c r="C19" s="287">
        <f t="shared" si="0"/>
        <v>0.6</v>
      </c>
      <c r="D19" s="405">
        <f>(Life_of_Assets-Years_to_Full_Load)/Max_Transmission_Distance*'Distance Adjustment'!B19+Years_to_Full_Load</f>
        <v>20.799999999999997</v>
      </c>
      <c r="E19" s="287">
        <f t="shared" si="1"/>
        <v>0.69333333333333325</v>
      </c>
      <c r="F19" s="287">
        <f t="shared" si="2"/>
        <v>0.41599999999999993</v>
      </c>
      <c r="H19" s="269">
        <f t="shared" si="3"/>
        <v>3</v>
      </c>
      <c r="I19" s="266">
        <f t="shared" si="4"/>
        <v>15.391999999999998</v>
      </c>
      <c r="J19" s="266">
        <f t="shared" si="11"/>
        <v>18.391999999999996</v>
      </c>
      <c r="K19" s="270">
        <f>Substation_cost_per_Useable_MVA*'Distance Adjustment'!J19</f>
        <v>2684772.1999999993</v>
      </c>
      <c r="M19" s="275">
        <f t="shared" si="5"/>
        <v>3154227.8000000007</v>
      </c>
      <c r="N19" s="278">
        <f>(Maximum_Load-'Distance Adjustment'!J19)*Capture_Ratio</f>
        <v>5.0418666666666674</v>
      </c>
      <c r="O19" s="257">
        <f t="shared" si="6"/>
        <v>735986.48666666681</v>
      </c>
      <c r="P19" s="258">
        <f t="shared" si="7"/>
        <v>108190.01354000004</v>
      </c>
      <c r="Q19" s="259">
        <f t="shared" si="8"/>
        <v>252443.36492666675</v>
      </c>
      <c r="R19" s="406">
        <f t="shared" si="12"/>
        <v>360633.37846666679</v>
      </c>
      <c r="S19" s="407">
        <f t="shared" si="9"/>
        <v>11574.71</v>
      </c>
      <c r="T19" s="260">
        <f t="shared" si="13"/>
        <v>1108194.5751333334</v>
      </c>
    </row>
    <row r="20" spans="1:20" x14ac:dyDescent="0.35">
      <c r="A20" s="398"/>
      <c r="B20" s="408">
        <f t="shared" si="10"/>
        <v>3.5</v>
      </c>
      <c r="C20" s="287">
        <f t="shared" si="0"/>
        <v>0.7</v>
      </c>
      <c r="D20" s="405">
        <f>(Life_of_Assets-Years_to_Full_Load)/Max_Transmission_Distance*'Distance Adjustment'!B20+Years_to_Full_Load</f>
        <v>23.099999999999998</v>
      </c>
      <c r="E20" s="287">
        <f t="shared" si="1"/>
        <v>0.76999999999999991</v>
      </c>
      <c r="F20" s="287">
        <f t="shared" si="2"/>
        <v>0.53899999999999992</v>
      </c>
      <c r="H20" s="269">
        <f t="shared" si="3"/>
        <v>3</v>
      </c>
      <c r="I20" s="266">
        <f t="shared" si="4"/>
        <v>19.942999999999998</v>
      </c>
      <c r="J20" s="266">
        <f t="shared" si="11"/>
        <v>22.942999999999998</v>
      </c>
      <c r="K20" s="270">
        <f>Substation_cost_per_Useable_MVA*'Distance Adjustment'!J20</f>
        <v>3349104.4249999998</v>
      </c>
      <c r="M20" s="275">
        <f t="shared" si="5"/>
        <v>2489895.5750000002</v>
      </c>
      <c r="N20" s="278">
        <f>(Maximum_Load-'Distance Adjustment'!J20)*Capture_Ratio</f>
        <v>3.9799666666666673</v>
      </c>
      <c r="O20" s="257">
        <f t="shared" si="6"/>
        <v>580975.63416666677</v>
      </c>
      <c r="P20" s="258">
        <f t="shared" si="7"/>
        <v>85403.418222500026</v>
      </c>
      <c r="Q20" s="259">
        <f t="shared" si="8"/>
        <v>199274.64251916672</v>
      </c>
      <c r="R20" s="406">
        <f t="shared" si="12"/>
        <v>284678.06074166676</v>
      </c>
      <c r="S20" s="407">
        <f t="shared" si="9"/>
        <v>8681.0325000000012</v>
      </c>
      <c r="T20" s="260">
        <f t="shared" si="13"/>
        <v>874334.72740833345</v>
      </c>
    </row>
    <row r="21" spans="1:20" x14ac:dyDescent="0.35">
      <c r="A21" s="398"/>
      <c r="B21" s="404">
        <f t="shared" si="10"/>
        <v>4</v>
      </c>
      <c r="C21" s="287">
        <f t="shared" si="0"/>
        <v>0.8</v>
      </c>
      <c r="D21" s="405">
        <f>(Life_of_Assets-Years_to_Full_Load)/Max_Transmission_Distance*'Distance Adjustment'!B21+Years_to_Full_Load</f>
        <v>25.4</v>
      </c>
      <c r="E21" s="287">
        <f t="shared" si="1"/>
        <v>0.84666666666666657</v>
      </c>
      <c r="F21" s="287">
        <f t="shared" si="2"/>
        <v>0.67733333333333334</v>
      </c>
      <c r="H21" s="269">
        <f t="shared" si="3"/>
        <v>3</v>
      </c>
      <c r="I21" s="266">
        <f t="shared" si="4"/>
        <v>25.061333333333334</v>
      </c>
      <c r="J21" s="266">
        <f t="shared" si="11"/>
        <v>28.061333333333334</v>
      </c>
      <c r="K21" s="270">
        <f>Substation_cost_per_Useable_MVA*'Distance Adjustment'!J21</f>
        <v>4096253.1333333333</v>
      </c>
      <c r="M21" s="275">
        <f t="shared" si="5"/>
        <v>1742746.8666666667</v>
      </c>
      <c r="N21" s="278">
        <f>(Maximum_Load-'Distance Adjustment'!J21)*Capture_Ratio</f>
        <v>2.7856888888888887</v>
      </c>
      <c r="O21" s="257">
        <f t="shared" si="6"/>
        <v>406640.93555555557</v>
      </c>
      <c r="P21" s="258">
        <f t="shared" si="7"/>
        <v>59776.217526666675</v>
      </c>
      <c r="Q21" s="259">
        <f t="shared" si="8"/>
        <v>139477.84089555556</v>
      </c>
      <c r="R21" s="406">
        <f t="shared" si="12"/>
        <v>199254.05842222224</v>
      </c>
      <c r="S21" s="407">
        <f t="shared" si="9"/>
        <v>5787.3549999999987</v>
      </c>
      <c r="T21" s="260">
        <f t="shared" si="13"/>
        <v>611682.34897777776</v>
      </c>
    </row>
    <row r="22" spans="1:20" x14ac:dyDescent="0.35">
      <c r="A22" s="398"/>
      <c r="B22" s="408">
        <f t="shared" si="10"/>
        <v>4.5</v>
      </c>
      <c r="C22" s="287">
        <f t="shared" si="0"/>
        <v>0.9</v>
      </c>
      <c r="D22" s="405">
        <f>(Life_of_Assets-Years_to_Full_Load)/Max_Transmission_Distance*'Distance Adjustment'!B22+Years_to_Full_Load</f>
        <v>27.7</v>
      </c>
      <c r="E22" s="287">
        <f t="shared" si="1"/>
        <v>0.92333333333333334</v>
      </c>
      <c r="F22" s="287">
        <f t="shared" si="2"/>
        <v>0.83100000000000007</v>
      </c>
      <c r="H22" s="269">
        <f t="shared" si="3"/>
        <v>3</v>
      </c>
      <c r="I22" s="266">
        <f t="shared" si="4"/>
        <v>30.747000000000003</v>
      </c>
      <c r="J22" s="266">
        <f t="shared" si="11"/>
        <v>33.747</v>
      </c>
      <c r="K22" s="270">
        <f>Substation_cost_per_Useable_MVA*'Distance Adjustment'!J22</f>
        <v>4926218.3250000002</v>
      </c>
      <c r="M22" s="275">
        <f t="shared" si="5"/>
        <v>912781.67499999981</v>
      </c>
      <c r="N22" s="278">
        <f>(Maximum_Load-'Distance Adjustment'!J22)*Capture_Ratio</f>
        <v>1.4590333333333334</v>
      </c>
      <c r="O22" s="257">
        <f t="shared" si="6"/>
        <v>212982.39083333328</v>
      </c>
      <c r="P22" s="258">
        <f t="shared" si="7"/>
        <v>31308.411452499993</v>
      </c>
      <c r="Q22" s="259">
        <f t="shared" si="8"/>
        <v>73052.960055833319</v>
      </c>
      <c r="R22" s="406">
        <f t="shared" si="12"/>
        <v>104361.37150833331</v>
      </c>
      <c r="S22" s="407">
        <f t="shared" si="9"/>
        <v>2893.6774999999993</v>
      </c>
      <c r="T22" s="260">
        <f t="shared" si="13"/>
        <v>320237.43984166661</v>
      </c>
    </row>
    <row r="23" spans="1:20" ht="15" thickBot="1" x14ac:dyDescent="0.4">
      <c r="A23" s="398"/>
      <c r="B23" s="409">
        <f t="shared" si="10"/>
        <v>5</v>
      </c>
      <c r="C23" s="288">
        <f t="shared" si="0"/>
        <v>1</v>
      </c>
      <c r="D23" s="410">
        <f>(Life_of_Assets-Years_to_Full_Load)/Max_Transmission_Distance*'Distance Adjustment'!B23+Years_to_Full_Load</f>
        <v>30</v>
      </c>
      <c r="E23" s="288">
        <f t="shared" si="1"/>
        <v>1</v>
      </c>
      <c r="F23" s="288">
        <f t="shared" si="2"/>
        <v>1</v>
      </c>
      <c r="H23" s="271">
        <f t="shared" si="3"/>
        <v>3</v>
      </c>
      <c r="I23" s="272">
        <f t="shared" si="4"/>
        <v>37</v>
      </c>
      <c r="J23" s="272">
        <f t="shared" si="11"/>
        <v>40</v>
      </c>
      <c r="K23" s="273">
        <f>Substation_cost_per_Useable_MVA*'Distance Adjustment'!J23</f>
        <v>5839000</v>
      </c>
      <c r="M23" s="276">
        <f t="shared" si="5"/>
        <v>0</v>
      </c>
      <c r="N23" s="279">
        <f>(Maximum_Load-'Distance Adjustment'!J23)*Capture_Ratio</f>
        <v>0</v>
      </c>
      <c r="O23" s="261">
        <f t="shared" si="6"/>
        <v>0</v>
      </c>
      <c r="P23" s="262">
        <f t="shared" si="7"/>
        <v>0</v>
      </c>
      <c r="Q23" s="263">
        <f t="shared" si="8"/>
        <v>0</v>
      </c>
      <c r="R23" s="411">
        <f>SUM(P23:Q23)</f>
        <v>0</v>
      </c>
      <c r="S23" s="412">
        <f t="shared" si="9"/>
        <v>0</v>
      </c>
      <c r="T23" s="264">
        <f t="shared" si="13"/>
        <v>0</v>
      </c>
    </row>
    <row r="24" spans="1:20" ht="15" thickTop="1" x14ac:dyDescent="0.35"/>
    <row r="26" spans="1:20" x14ac:dyDescent="0.35">
      <c r="O26" s="413"/>
    </row>
    <row r="32" spans="1:20" x14ac:dyDescent="0.35">
      <c r="P32" s="41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002060"/>
  </sheetPr>
  <dimension ref="A3:F21"/>
  <sheetViews>
    <sheetView workbookViewId="0">
      <selection activeCell="D23" sqref="D23"/>
    </sheetView>
  </sheetViews>
  <sheetFormatPr defaultColWidth="9.1796875" defaultRowHeight="14.5" x14ac:dyDescent="0.35"/>
  <cols>
    <col min="1" max="1" width="11.453125" style="54" customWidth="1"/>
    <col min="2" max="2" width="12.453125" style="54" customWidth="1"/>
    <col min="3" max="4" width="12.26953125" style="54" customWidth="1"/>
    <col min="5" max="5" width="14.26953125" style="54" bestFit="1" customWidth="1"/>
    <col min="6" max="6" width="12.54296875" style="54" bestFit="1" customWidth="1"/>
    <col min="7" max="16384" width="9.1796875" style="54"/>
  </cols>
  <sheetData>
    <row r="3" spans="1:6" x14ac:dyDescent="0.35">
      <c r="A3" s="54" t="s">
        <v>306</v>
      </c>
    </row>
    <row r="4" spans="1:6" x14ac:dyDescent="0.35">
      <c r="A4" s="234" t="s">
        <v>79</v>
      </c>
      <c r="B4" s="335" t="s">
        <v>120</v>
      </c>
      <c r="C4" s="336" t="s">
        <v>258</v>
      </c>
      <c r="D4" s="337" t="s">
        <v>79</v>
      </c>
      <c r="E4" s="338" t="s">
        <v>226</v>
      </c>
      <c r="F4" s="54" t="s">
        <v>287</v>
      </c>
    </row>
    <row r="5" spans="1:6" x14ac:dyDescent="0.35">
      <c r="A5" s="54">
        <v>0</v>
      </c>
      <c r="B5" s="58">
        <v>729875</v>
      </c>
      <c r="C5" s="58">
        <v>1192129.1666666665</v>
      </c>
      <c r="D5" s="58">
        <v>611515.91666666674</v>
      </c>
      <c r="E5" s="58">
        <v>0</v>
      </c>
      <c r="F5" s="218">
        <f t="shared" ref="F5:F15" si="0">SUM(B5:E5)</f>
        <v>2533520.083333333</v>
      </c>
    </row>
    <row r="6" spans="1:6" x14ac:dyDescent="0.35">
      <c r="A6" s="54">
        <v>0.5</v>
      </c>
      <c r="B6" s="58">
        <v>729875</v>
      </c>
      <c r="C6" s="58">
        <v>1192129.1666666665</v>
      </c>
      <c r="D6" s="58">
        <v>712097.08295833366</v>
      </c>
      <c r="E6" s="58">
        <v>1500000</v>
      </c>
      <c r="F6" s="218">
        <f t="shared" si="0"/>
        <v>4134101.2496250002</v>
      </c>
    </row>
    <row r="7" spans="1:6" x14ac:dyDescent="0.35">
      <c r="A7" s="54">
        <v>1</v>
      </c>
      <c r="B7" s="58">
        <v>729875</v>
      </c>
      <c r="C7" s="58">
        <v>1192129.1666666665</v>
      </c>
      <c r="D7" s="58">
        <v>863781.98822222254</v>
      </c>
      <c r="E7" s="58">
        <v>3000000</v>
      </c>
      <c r="F7" s="218">
        <f t="shared" si="0"/>
        <v>5785786.1548888888</v>
      </c>
    </row>
    <row r="8" spans="1:6" x14ac:dyDescent="0.35">
      <c r="A8" s="54">
        <v>1.5</v>
      </c>
      <c r="B8" s="58">
        <v>729875</v>
      </c>
      <c r="C8" s="58">
        <v>1192129.1666666665</v>
      </c>
      <c r="D8" s="58">
        <v>1066570.6324583334</v>
      </c>
      <c r="E8" s="58">
        <v>4500000</v>
      </c>
      <c r="F8" s="218">
        <f t="shared" si="0"/>
        <v>7488574.7991249999</v>
      </c>
    </row>
    <row r="9" spans="1:6" x14ac:dyDescent="0.35">
      <c r="A9" s="54">
        <v>2</v>
      </c>
      <c r="B9" s="58">
        <v>729875</v>
      </c>
      <c r="C9" s="58">
        <v>1192129.1666666665</v>
      </c>
      <c r="D9" s="58">
        <v>1320463.0156666669</v>
      </c>
      <c r="E9" s="58">
        <v>6000000</v>
      </c>
      <c r="F9" s="218">
        <f t="shared" si="0"/>
        <v>9242467.1823333334</v>
      </c>
    </row>
    <row r="10" spans="1:6" x14ac:dyDescent="0.35">
      <c r="A10" s="54">
        <v>2.5</v>
      </c>
      <c r="B10" s="58">
        <v>729875</v>
      </c>
      <c r="C10" s="58">
        <v>1192129.1666666665</v>
      </c>
      <c r="D10" s="58">
        <v>1625459.1378472224</v>
      </c>
      <c r="E10" s="58">
        <v>7500000</v>
      </c>
      <c r="F10" s="218">
        <f t="shared" si="0"/>
        <v>11047463.304513888</v>
      </c>
    </row>
    <row r="11" spans="1:6" x14ac:dyDescent="0.35">
      <c r="A11" s="54">
        <v>3</v>
      </c>
      <c r="B11" s="58">
        <v>729875</v>
      </c>
      <c r="C11" s="58">
        <v>1192129.1666666665</v>
      </c>
      <c r="D11" s="58">
        <v>1981558.9990000003</v>
      </c>
      <c r="E11" s="58">
        <v>9000000</v>
      </c>
      <c r="F11" s="218">
        <f t="shared" si="0"/>
        <v>12903563.165666666</v>
      </c>
    </row>
    <row r="12" spans="1:6" x14ac:dyDescent="0.35">
      <c r="A12" s="54">
        <v>3.5</v>
      </c>
      <c r="B12" s="58">
        <v>729875</v>
      </c>
      <c r="C12" s="58">
        <v>1192129.1666666665</v>
      </c>
      <c r="D12" s="58">
        <v>2388762.5991250002</v>
      </c>
      <c r="E12" s="58">
        <v>10500000</v>
      </c>
      <c r="F12" s="218">
        <f t="shared" si="0"/>
        <v>14810766.765791666</v>
      </c>
    </row>
    <row r="13" spans="1:6" x14ac:dyDescent="0.35">
      <c r="A13" s="54">
        <v>4</v>
      </c>
      <c r="B13" s="58">
        <v>729875</v>
      </c>
      <c r="C13" s="58">
        <v>1192129.1666666665</v>
      </c>
      <c r="D13" s="58">
        <v>2847069.938222222</v>
      </c>
      <c r="E13" s="58">
        <v>12000000</v>
      </c>
      <c r="F13" s="218">
        <f t="shared" si="0"/>
        <v>16769074.104888888</v>
      </c>
    </row>
    <row r="14" spans="1:6" x14ac:dyDescent="0.35">
      <c r="A14" s="54">
        <v>4.5</v>
      </c>
      <c r="B14" s="58">
        <v>729875</v>
      </c>
      <c r="C14" s="58">
        <v>1192129.1666666665</v>
      </c>
      <c r="D14" s="58">
        <v>3356481.0162916672</v>
      </c>
      <c r="E14" s="58">
        <v>13500000</v>
      </c>
      <c r="F14" s="218">
        <f t="shared" si="0"/>
        <v>18778485.182958335</v>
      </c>
    </row>
    <row r="15" spans="1:6" x14ac:dyDescent="0.35">
      <c r="A15" s="54">
        <v>5</v>
      </c>
      <c r="B15" s="58">
        <v>729875</v>
      </c>
      <c r="C15" s="58">
        <v>1192129.1666666665</v>
      </c>
      <c r="D15" s="58">
        <v>3916995.8333333335</v>
      </c>
      <c r="E15" s="58">
        <v>15000000</v>
      </c>
      <c r="F15" s="218">
        <f t="shared" si="0"/>
        <v>20839000</v>
      </c>
    </row>
    <row r="19" spans="1:6" x14ac:dyDescent="0.35">
      <c r="A19" s="54" t="str">
        <f>Nomination&amp;" MVA Nomination with a "&amp;Transmission_Voltage&amp;" kV Transmission Tap "&amp;Length_of_Xmission&amp;" miles long."</f>
        <v>3 MVA Nomination with a 230 kV kV Transmission Tap 0 miles long.</v>
      </c>
    </row>
    <row r="20" spans="1:6" x14ac:dyDescent="0.35">
      <c r="A20" s="54" t="s">
        <v>79</v>
      </c>
    </row>
    <row r="21" spans="1:6" x14ac:dyDescent="0.35">
      <c r="A21" s="54">
        <f>Length_of_Xmission</f>
        <v>0</v>
      </c>
      <c r="B21" s="58">
        <f>Nomination_Contribution</f>
        <v>437925</v>
      </c>
      <c r="C21" s="58">
        <f>Unallocated_Assigned_Capital</f>
        <v>1260250.8333333335</v>
      </c>
      <c r="D21" s="58">
        <f>Calculation!C46+Calculation!C45-C21</f>
        <v>-1231314.0583333336</v>
      </c>
      <c r="E21" s="58">
        <f>Calculator!D14</f>
        <v>0</v>
      </c>
      <c r="F21" s="218">
        <f>SUM(B21:D21)</f>
        <v>466861.77499999991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F8E6D3AB77A42BB3CD7911CA7B2E5" ma:contentTypeVersion="4" ma:contentTypeDescription="Create a new document." ma:contentTypeScope="" ma:versionID="30ec1b54bcea3ebe06e9f69184b9c74d">
  <xsd:schema xmlns:xsd="http://www.w3.org/2001/XMLSchema" xmlns:xs="http://www.w3.org/2001/XMLSchema" xmlns:p="http://schemas.microsoft.com/office/2006/metadata/properties" xmlns:ns1="http://schemas.microsoft.com/sharepoint/v3" xmlns:ns2="f1ec9a7b-56ee-4f04-9d0f-1e5879ec3a8c" xmlns:ns3="a3c4a68b-0aa4-4852-94cd-48cfacfd56da" targetNamespace="http://schemas.microsoft.com/office/2006/metadata/properties" ma:root="true" ma:fieldsID="f67e7f67e56641c5c1a483997c468cce" ns1:_="" ns2:_="" ns3:_="">
    <xsd:import namespace="http://schemas.microsoft.com/sharepoint/v3"/>
    <xsd:import namespace="f1ec9a7b-56ee-4f04-9d0f-1e5879ec3a8c"/>
    <xsd:import namespace="a3c4a68b-0aa4-4852-94cd-48cfacfd56d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Group" minOccurs="0"/>
                <xsd:element ref="ns3:CATERGORY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ec9a7b-56ee-4f04-9d0f-1e5879ec3a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3c4a68b-0aa4-4852-94cd-48cfacfd56da" elementFormDefault="qualified">
    <xsd:import namespace="http://schemas.microsoft.com/office/2006/documentManagement/types"/>
    <xsd:import namespace="http://schemas.microsoft.com/office/infopath/2007/PartnerControls"/>
    <xsd:element name="Group" ma:index="13" nillable="true" ma:displayName="Group" ma:default="Large Customer Care" ma:description="This is used for the page view, so only documents related to the page show.  If it is blank, it will only show by opening the document library directly." ma:format="Dropdown" ma:internalName="Group">
      <xsd:simpleType>
        <xsd:union memberTypes="dms:Text">
          <xsd:simpleType>
            <xsd:restriction base="dms:Choice">
              <xsd:enumeration value="Large Customer Care"/>
            </xsd:restriction>
          </xsd:simpleType>
        </xsd:union>
      </xsd:simpleType>
    </xsd:element>
    <xsd:element name="CATERGORY_TYPE" ma:index="14" nillable="true" ma:displayName="CATERGORY_TYPE" ma:default="Documentation" ma:format="Dropdown" ma:internalName="CATERGORY_TYPE">
      <xsd:simpleType>
        <xsd:restriction base="dms:Choice">
          <xsd:enumeration value="Policies"/>
          <xsd:enumeration value="Application Info"/>
          <xsd:enumeration value="Planning"/>
          <xsd:enumeration value="Documentation"/>
          <xsd:enumeration value="Inter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1ec9a7b-56ee-4f04-9d0f-1e5879ec3a8c">26EZWCK237PQ-1883-50</_dlc_DocId>
    <_dlc_DocIdUrl xmlns="f1ec9a7b-56ee-4f04-9d0f-1e5879ec3a8c">
      <Url>https://grantnet.gcpud.org/Departments/LargeCustomerCare/_layouts/15/DocIdRedir.aspx?ID=26EZWCK237PQ-1883-50</Url>
      <Description>26EZWCK237PQ-1883-50</Description>
    </_dlc_DocIdUrl>
    <Group xmlns="a3c4a68b-0aa4-4852-94cd-48cfacfd56da">Large Customer Care</Group>
    <PublishingExpirationDate xmlns="http://schemas.microsoft.com/sharepoint/v3" xsi:nil="true"/>
    <PublishingStartDate xmlns="http://schemas.microsoft.com/sharepoint/v3" xsi:nil="true"/>
    <CATERGORY_TYPE xmlns="a3c4a68b-0aa4-4852-94cd-48cfacfd56da">Internal</CATERGORY_TYPE>
    <_dlc_DocIdPersistId xmlns="f1ec9a7b-56ee-4f04-9d0f-1e5879ec3a8c">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A66362-DFFC-4B15-8D8F-745E49927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ec9a7b-56ee-4f04-9d0f-1e5879ec3a8c"/>
    <ds:schemaRef ds:uri="a3c4a68b-0aa4-4852-94cd-48cfacfd5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D68F52-8C6D-4FF3-9571-48C2820E13A1}">
  <ds:schemaRefs>
    <ds:schemaRef ds:uri="http://purl.org/dc/elements/1.1/"/>
    <ds:schemaRef ds:uri="http://purl.org/dc/terms/"/>
    <ds:schemaRef ds:uri="a3c4a68b-0aa4-4852-94cd-48cfacfd56da"/>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 ds:uri="http://schemas.openxmlformats.org/package/2006/metadata/core-properties"/>
    <ds:schemaRef ds:uri="f1ec9a7b-56ee-4f04-9d0f-1e5879ec3a8c"/>
    <ds:schemaRef ds:uri="http://www.w3.org/XML/1998/namespace"/>
  </ds:schemaRefs>
</ds:datastoreItem>
</file>

<file path=customXml/itemProps3.xml><?xml version="1.0" encoding="utf-8"?>
<ds:datastoreItem xmlns:ds="http://schemas.openxmlformats.org/officeDocument/2006/customXml" ds:itemID="{B2968425-56D6-4B3F-B8AE-DA5971EFDA3A}">
  <ds:schemaRefs>
    <ds:schemaRef ds:uri="http://schemas.microsoft.com/sharepoint/events"/>
  </ds:schemaRefs>
</ds:datastoreItem>
</file>

<file path=customXml/itemProps4.xml><?xml version="1.0" encoding="utf-8"?>
<ds:datastoreItem xmlns:ds="http://schemas.openxmlformats.org/officeDocument/2006/customXml" ds:itemID="{99FD0205-A219-4897-93CC-B84C6780EF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60</vt:i4>
      </vt:variant>
    </vt:vector>
  </HeadingPairs>
  <TitlesOfParts>
    <vt:vector size="74" baseType="lpstr">
      <vt:lpstr>Calculator</vt:lpstr>
      <vt:lpstr>Hidden Tabs =&gt;</vt:lpstr>
      <vt:lpstr>Revision</vt:lpstr>
      <vt:lpstr>Calculation</vt:lpstr>
      <vt:lpstr>Assumptions</vt:lpstr>
      <vt:lpstr>Distribution Estimate</vt:lpstr>
      <vt:lpstr>Inputs Tracking</vt:lpstr>
      <vt:lpstr>Distance Adjustment</vt:lpstr>
      <vt:lpstr>Chart</vt:lpstr>
      <vt:lpstr>Data (2)</vt:lpstr>
      <vt:lpstr>Calculation Opt2</vt:lpstr>
      <vt:lpstr>Data Opt2</vt:lpstr>
      <vt:lpstr>Calculation NPV Opt3</vt:lpstr>
      <vt:lpstr>Data_NPV</vt:lpstr>
      <vt:lpstr>Allowed_Sizes</vt:lpstr>
      <vt:lpstr>Annual_O_M</vt:lpstr>
      <vt:lpstr>Base_Distribution</vt:lpstr>
      <vt:lpstr>Base_Transmission</vt:lpstr>
      <vt:lpstr>CALC</vt:lpstr>
      <vt:lpstr>Capture_Ratio</vt:lpstr>
      <vt:lpstr>Cost_of_Debt</vt:lpstr>
      <vt:lpstr>Cost_of_Equity</vt:lpstr>
      <vt:lpstr>Debt_Interest_Rate</vt:lpstr>
      <vt:lpstr>Depreciation_Factor</vt:lpstr>
      <vt:lpstr>Depreciation_for_Distance</vt:lpstr>
      <vt:lpstr>Distance</vt:lpstr>
      <vt:lpstr>Distance_Factor</vt:lpstr>
      <vt:lpstr>Distribution_Distance</vt:lpstr>
      <vt:lpstr>Distribution_Feeder</vt:lpstr>
      <vt:lpstr>Distribution_Type</vt:lpstr>
      <vt:lpstr>Equity_Return</vt:lpstr>
      <vt:lpstr>Feeder</vt:lpstr>
      <vt:lpstr>Length_of_Xmission</vt:lpstr>
      <vt:lpstr>Life_of_Assets</vt:lpstr>
      <vt:lpstr>Max_Distribution_Distance</vt:lpstr>
      <vt:lpstr>Max_Transmission_Distance</vt:lpstr>
      <vt:lpstr>Maximum_Load</vt:lpstr>
      <vt:lpstr>Miscellaneous_Component</vt:lpstr>
      <vt:lpstr>Miscellaneous_Cost</vt:lpstr>
      <vt:lpstr>MVA</vt:lpstr>
      <vt:lpstr>Nomination</vt:lpstr>
      <vt:lpstr>Nomination_Contribution</vt:lpstr>
      <vt:lpstr>O_M_Cost_per_MVA_per_year</vt:lpstr>
      <vt:lpstr>OH_Sizes</vt:lpstr>
      <vt:lpstr>Percent_Debt</vt:lpstr>
      <vt:lpstr>Percent_Equity</vt:lpstr>
      <vt:lpstr>Percent_of_Max_Distance</vt:lpstr>
      <vt:lpstr>Sub_Capacities_and_Costs</vt:lpstr>
      <vt:lpstr>Substation_Component</vt:lpstr>
      <vt:lpstr>Substation_cost_per_Useable_MVA</vt:lpstr>
      <vt:lpstr>Substation_Total_Capital</vt:lpstr>
      <vt:lpstr>Substation_Type</vt:lpstr>
      <vt:lpstr>Total_Substation_Base_Capital</vt:lpstr>
      <vt:lpstr>Total_Substation_Capital</vt:lpstr>
      <vt:lpstr>Total_Unallocated_Base</vt:lpstr>
      <vt:lpstr>Total_Unallocated_Zero_Mile_Financing_Costs</vt:lpstr>
      <vt:lpstr>Transformer_Data</vt:lpstr>
      <vt:lpstr>Transformer_Size</vt:lpstr>
      <vt:lpstr>Transformer_Type</vt:lpstr>
      <vt:lpstr>Transmission</vt:lpstr>
      <vt:lpstr>Transmission_Extension</vt:lpstr>
      <vt:lpstr>Transmission_Voltage</vt:lpstr>
      <vt:lpstr>Type</vt:lpstr>
      <vt:lpstr>Type_of_Expansion</vt:lpstr>
      <vt:lpstr>Unallocated_Assigned_Capital</vt:lpstr>
      <vt:lpstr>Unallocated_Base_Capital</vt:lpstr>
      <vt:lpstr>Unallocated_Capacity</vt:lpstr>
      <vt:lpstr>Unallocated_Debt_Cost</vt:lpstr>
      <vt:lpstr>Unallocated_Equity_Return</vt:lpstr>
      <vt:lpstr>Unallocated_O_M</vt:lpstr>
      <vt:lpstr>Unallocated_Total_Capital</vt:lpstr>
      <vt:lpstr>Usable_MVA</vt:lpstr>
      <vt:lpstr>Years_to_Full_Load</vt:lpstr>
      <vt:lpstr>YTFL_O_M</vt:lpstr>
    </vt:vector>
  </TitlesOfParts>
  <Company>Grant County PUD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Shane Lunderville</dc:creator>
  <cp:lastModifiedBy>Shane Lunderville</cp:lastModifiedBy>
  <cp:lastPrinted>2019-03-26T18:19:34Z</cp:lastPrinted>
  <dcterms:created xsi:type="dcterms:W3CDTF">2018-06-07T14:55:24Z</dcterms:created>
  <dcterms:modified xsi:type="dcterms:W3CDTF">2019-10-03T17:36:31Z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0x010100B01F8E6D3AB77A42BB3CD7911CA7B2E5</vt:lpwstr>
  </property>
  <property fmtid="{D5CDD505-2E9C-101B-9397-08002B2CF9AE}" pid="3" name="_dlc_DocIdItemGuid">
    <vt:lpwstr>c84078a3-47c8-405b-a4fd-a302411497a4</vt:lpwstr>
  </property>
  <property fmtid="{D5CDD505-2E9C-101B-9397-08002B2CF9AE}" pid="4" name="Order">
    <vt:r8>5000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